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3.xml" ContentType="application/vnd.openxmlformats-officedocument.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rawings/drawing4.xml" ContentType="application/vnd.openxmlformats-officedocument.drawing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drawings/drawing5.xml" ContentType="application/vnd.openxmlformats-officedocument.drawing+xml"/>
  <Override PartName="/xl/diagrams/data5.xml" ContentType="application/vnd.openxmlformats-officedocument.drawingml.diagramData+xml"/>
  <Override PartName="/xl/diagrams/layout5.xml" ContentType="application/vnd.openxmlformats-officedocument.drawingml.diagramLayout+xml"/>
  <Override PartName="/xl/diagrams/quickStyle5.xml" ContentType="application/vnd.openxmlformats-officedocument.drawingml.diagramStyle+xml"/>
  <Override PartName="/xl/diagrams/colors5.xml" ContentType="application/vnd.openxmlformats-officedocument.drawingml.diagramColors+xml"/>
  <Override PartName="/xl/diagrams/drawing5.xml" ContentType="application/vnd.ms-office.drawingml.diagramDrawing+xml"/>
  <Override PartName="/xl/drawings/drawing6.xml" ContentType="application/vnd.openxmlformats-officedocument.drawing+xml"/>
  <Override PartName="/xl/diagrams/data6.xml" ContentType="application/vnd.openxmlformats-officedocument.drawingml.diagramData+xml"/>
  <Override PartName="/xl/diagrams/layout6.xml" ContentType="application/vnd.openxmlformats-officedocument.drawingml.diagramLayout+xml"/>
  <Override PartName="/xl/diagrams/quickStyle6.xml" ContentType="application/vnd.openxmlformats-officedocument.drawingml.diagramStyle+xml"/>
  <Override PartName="/xl/diagrams/colors6.xml" ContentType="application/vnd.openxmlformats-officedocument.drawingml.diagramColors+xml"/>
  <Override PartName="/xl/diagrams/drawing6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sunsethouse-my.sharepoint.com/personal/emma_sunsethouse_com/Documents/EMMA-DATA/Package Rates/2021/"/>
    </mc:Choice>
  </mc:AlternateContent>
  <xr:revisionPtr revIDLastSave="70" documentId="8_{E4AE34E3-76F0-4E38-B160-20D2C40AE381}" xr6:coauthVersionLast="46" xr6:coauthVersionMax="46" xr10:uidLastSave="{3F3DCD62-26AB-4CDC-9596-BB517B540463}"/>
  <bookViews>
    <workbookView xWindow="25080" yWindow="-120" windowWidth="29040" windowHeight="15840" tabRatio="584" firstSheet="3" activeTab="6" xr2:uid="{00000000-000D-0000-FFFF-FFFF00000000}"/>
  </bookViews>
  <sheets>
    <sheet name=" DEMA L1-Jan 11-Apr 17,20" sheetId="6" state="hidden" r:id="rId1"/>
    <sheet name="DEMA L2-Apr 18-Aug 2,20" sheetId="7" state="hidden" r:id="rId2"/>
    <sheet name="DEMA L3 Aug 3-Dec 20,20" sheetId="8" state="hidden" r:id="rId3"/>
    <sheet name="DEMA Level 1 - 2021 " sheetId="10" r:id="rId4"/>
    <sheet name="DEMA Level 2 - 2021 " sheetId="11" r:id="rId5"/>
    <sheet name="DEMA Level 3 - 2021 " sheetId="12" r:id="rId6"/>
    <sheet name="DEMA PicknMix Menu " sheetId="13" r:id="rId7"/>
    <sheet name="Win-Dec 19, 20-Apr 17, 21" sheetId="2" r:id="rId8"/>
    <sheet name="Sum-Apr 18-Dec 17, 21" sheetId="1" r:id="rId9"/>
    <sheet name="Sheet1" sheetId="9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9" i="12" l="1"/>
  <c r="N29" i="12"/>
  <c r="J29" i="12"/>
  <c r="I29" i="12"/>
  <c r="E29" i="12"/>
  <c r="D29" i="12"/>
  <c r="O13" i="12"/>
  <c r="N13" i="12"/>
  <c r="N18" i="12" s="1"/>
  <c r="L13" i="12"/>
  <c r="O29" i="11"/>
  <c r="N29" i="11"/>
  <c r="J29" i="11"/>
  <c r="I29" i="11"/>
  <c r="I34" i="11" s="1"/>
  <c r="E29" i="11"/>
  <c r="D29" i="11"/>
  <c r="O13" i="11"/>
  <c r="N13" i="11"/>
  <c r="M13" i="11"/>
  <c r="O29" i="10"/>
  <c r="N29" i="10"/>
  <c r="J29" i="10"/>
  <c r="I29" i="10"/>
  <c r="D29" i="10"/>
  <c r="E29" i="10"/>
  <c r="N13" i="10"/>
  <c r="N18" i="10" s="1"/>
  <c r="O13" i="10"/>
  <c r="M13" i="10"/>
  <c r="L8" i="12"/>
  <c r="L17" i="12" s="1"/>
  <c r="M8" i="12"/>
  <c r="N8" i="12"/>
  <c r="O8" i="12"/>
  <c r="O18" i="12" s="1"/>
  <c r="L12" i="12"/>
  <c r="M12" i="12"/>
  <c r="M13" i="12"/>
  <c r="L14" i="12"/>
  <c r="O14" i="12" s="1"/>
  <c r="M14" i="12"/>
  <c r="N14" i="12"/>
  <c r="L15" i="12"/>
  <c r="M15" i="12"/>
  <c r="M16" i="12" s="1"/>
  <c r="N15" i="12"/>
  <c r="O15" i="12"/>
  <c r="L16" i="12"/>
  <c r="N16" i="12"/>
  <c r="N17" i="12"/>
  <c r="L18" i="12"/>
  <c r="B24" i="12"/>
  <c r="C24" i="12"/>
  <c r="D24" i="12"/>
  <c r="E24" i="12"/>
  <c r="G24" i="12"/>
  <c r="G34" i="12" s="1"/>
  <c r="H24" i="12"/>
  <c r="I24" i="12"/>
  <c r="J24" i="12"/>
  <c r="L24" i="12"/>
  <c r="M24" i="12"/>
  <c r="N24" i="12"/>
  <c r="O24" i="12"/>
  <c r="O34" i="12" s="1"/>
  <c r="B28" i="12"/>
  <c r="C28" i="12"/>
  <c r="G28" i="12"/>
  <c r="H28" i="12"/>
  <c r="L28" i="12"/>
  <c r="M28" i="12"/>
  <c r="B29" i="12"/>
  <c r="C29" i="12"/>
  <c r="G29" i="12"/>
  <c r="H29" i="12"/>
  <c r="L29" i="12"/>
  <c r="M29" i="12"/>
  <c r="B30" i="12"/>
  <c r="E30" i="12" s="1"/>
  <c r="C30" i="12"/>
  <c r="D30" i="12"/>
  <c r="G30" i="12"/>
  <c r="H30" i="12"/>
  <c r="I30" i="12"/>
  <c r="J30" i="12"/>
  <c r="L30" i="12"/>
  <c r="M30" i="12"/>
  <c r="N30" i="12"/>
  <c r="O30" i="12"/>
  <c r="B31" i="12"/>
  <c r="C31" i="12"/>
  <c r="D31" i="12"/>
  <c r="E31" i="12"/>
  <c r="G31" i="12"/>
  <c r="H31" i="12"/>
  <c r="I31" i="12"/>
  <c r="J31" i="12"/>
  <c r="L31" i="12"/>
  <c r="M31" i="12"/>
  <c r="N31" i="12"/>
  <c r="O31" i="12"/>
  <c r="B32" i="12"/>
  <c r="C32" i="12"/>
  <c r="D32" i="12"/>
  <c r="D33" i="12" s="1"/>
  <c r="E32" i="12"/>
  <c r="G32" i="12"/>
  <c r="G33" i="12" s="1"/>
  <c r="H32" i="12"/>
  <c r="I32" i="12"/>
  <c r="J32" i="12"/>
  <c r="L32" i="12"/>
  <c r="M32" i="12"/>
  <c r="N32" i="12"/>
  <c r="O32" i="12"/>
  <c r="O33" i="12" s="1"/>
  <c r="B33" i="12"/>
  <c r="I33" i="12"/>
  <c r="D34" i="12"/>
  <c r="E34" i="12"/>
  <c r="I34" i="12"/>
  <c r="L34" i="12"/>
  <c r="N34" i="12"/>
  <c r="L8" i="11"/>
  <c r="L16" i="11" s="1"/>
  <c r="M8" i="11"/>
  <c r="M16" i="11" s="1"/>
  <c r="N8" i="11"/>
  <c r="O8" i="11"/>
  <c r="L12" i="11"/>
  <c r="M12" i="11"/>
  <c r="L13" i="11"/>
  <c r="L14" i="11"/>
  <c r="O14" i="11" s="1"/>
  <c r="M14" i="11"/>
  <c r="N14" i="11"/>
  <c r="L15" i="11"/>
  <c r="M15" i="11"/>
  <c r="N15" i="11"/>
  <c r="O15" i="11"/>
  <c r="B24" i="11"/>
  <c r="C24" i="11"/>
  <c r="C32" i="11" s="1"/>
  <c r="D24" i="11"/>
  <c r="E24" i="11"/>
  <c r="G24" i="11"/>
  <c r="H24" i="11"/>
  <c r="H34" i="11" s="1"/>
  <c r="I24" i="11"/>
  <c r="J24" i="11"/>
  <c r="L24" i="11"/>
  <c r="M24" i="11"/>
  <c r="M32" i="11" s="1"/>
  <c r="N24" i="11"/>
  <c r="N34" i="11" s="1"/>
  <c r="O24" i="11"/>
  <c r="B28" i="11"/>
  <c r="C28" i="11"/>
  <c r="G28" i="11"/>
  <c r="H28" i="11"/>
  <c r="L28" i="11"/>
  <c r="M28" i="11"/>
  <c r="B29" i="11"/>
  <c r="C29" i="11"/>
  <c r="G29" i="11"/>
  <c r="H29" i="11"/>
  <c r="L29" i="11"/>
  <c r="M29" i="11"/>
  <c r="B30" i="11"/>
  <c r="E30" i="11" s="1"/>
  <c r="C30" i="11"/>
  <c r="D30" i="11"/>
  <c r="G30" i="11"/>
  <c r="H30" i="11"/>
  <c r="I30" i="11"/>
  <c r="J30" i="11"/>
  <c r="L30" i="11"/>
  <c r="M30" i="11"/>
  <c r="N30" i="11"/>
  <c r="O30" i="11"/>
  <c r="B31" i="11"/>
  <c r="C31" i="11"/>
  <c r="D31" i="11"/>
  <c r="D32" i="11" s="1"/>
  <c r="E31" i="11"/>
  <c r="G31" i="11"/>
  <c r="H31" i="11"/>
  <c r="I31" i="11"/>
  <c r="I32" i="11" s="1"/>
  <c r="J31" i="11"/>
  <c r="L31" i="11"/>
  <c r="M31" i="11"/>
  <c r="N31" i="11"/>
  <c r="O31" i="11"/>
  <c r="D34" i="11"/>
  <c r="E34" i="11"/>
  <c r="L8" i="10"/>
  <c r="L16" i="10" s="1"/>
  <c r="L17" i="10" s="1"/>
  <c r="M8" i="10"/>
  <c r="N8" i="10"/>
  <c r="O8" i="10"/>
  <c r="O16" i="10" s="1"/>
  <c r="L12" i="10"/>
  <c r="M12" i="10"/>
  <c r="L13" i="10"/>
  <c r="L14" i="10"/>
  <c r="O14" i="10" s="1"/>
  <c r="M14" i="10"/>
  <c r="N14" i="10"/>
  <c r="L15" i="10"/>
  <c r="M15" i="10"/>
  <c r="N15" i="10"/>
  <c r="O15" i="10"/>
  <c r="L18" i="10"/>
  <c r="B24" i="10"/>
  <c r="C24" i="10"/>
  <c r="D24" i="10"/>
  <c r="E24" i="10"/>
  <c r="E32" i="10" s="1"/>
  <c r="G24" i="10"/>
  <c r="H24" i="10"/>
  <c r="I24" i="10"/>
  <c r="I32" i="10" s="1"/>
  <c r="J24" i="10"/>
  <c r="J32" i="10" s="1"/>
  <c r="J33" i="10" s="1"/>
  <c r="L24" i="10"/>
  <c r="M24" i="10"/>
  <c r="N24" i="10"/>
  <c r="N34" i="10" s="1"/>
  <c r="O24" i="10"/>
  <c r="O32" i="10" s="1"/>
  <c r="B28" i="10"/>
  <c r="C28" i="10"/>
  <c r="G28" i="10"/>
  <c r="H28" i="10"/>
  <c r="L28" i="10"/>
  <c r="M28" i="10"/>
  <c r="B29" i="10"/>
  <c r="C29" i="10"/>
  <c r="G29" i="10"/>
  <c r="H29" i="10"/>
  <c r="L29" i="10"/>
  <c r="M29" i="10"/>
  <c r="B30" i="10"/>
  <c r="E30" i="10" s="1"/>
  <c r="C30" i="10"/>
  <c r="D30" i="10"/>
  <c r="G30" i="10"/>
  <c r="H30" i="10"/>
  <c r="I30" i="10"/>
  <c r="J30" i="10"/>
  <c r="L30" i="10"/>
  <c r="M30" i="10"/>
  <c r="N30" i="10"/>
  <c r="O30" i="10"/>
  <c r="B31" i="10"/>
  <c r="C31" i="10"/>
  <c r="D31" i="10"/>
  <c r="E31" i="10"/>
  <c r="G31" i="10"/>
  <c r="H31" i="10"/>
  <c r="I31" i="10"/>
  <c r="J31" i="10"/>
  <c r="L31" i="10"/>
  <c r="M31" i="10"/>
  <c r="N31" i="10"/>
  <c r="O31" i="10"/>
  <c r="D32" i="10"/>
  <c r="D34" i="10"/>
  <c r="L34" i="10"/>
  <c r="N33" i="12" l="1"/>
  <c r="L19" i="12"/>
  <c r="D35" i="12"/>
  <c r="O35" i="12"/>
  <c r="N19" i="12"/>
  <c r="L17" i="11"/>
  <c r="H32" i="11"/>
  <c r="H33" i="11" s="1"/>
  <c r="H35" i="11" s="1"/>
  <c r="O32" i="11"/>
  <c r="J32" i="11"/>
  <c r="E32" i="11"/>
  <c r="M18" i="11"/>
  <c r="O18" i="11"/>
  <c r="N18" i="11"/>
  <c r="O33" i="11"/>
  <c r="I33" i="11"/>
  <c r="I35" i="11" s="1"/>
  <c r="M34" i="11"/>
  <c r="C34" i="11"/>
  <c r="L18" i="11"/>
  <c r="L19" i="11" s="1"/>
  <c r="D33" i="11"/>
  <c r="D35" i="11" s="1"/>
  <c r="M33" i="11"/>
  <c r="M35" i="11" s="1"/>
  <c r="L32" i="11"/>
  <c r="L33" i="11" s="1"/>
  <c r="G32" i="11"/>
  <c r="B32" i="11"/>
  <c r="B33" i="11" s="1"/>
  <c r="J35" i="10"/>
  <c r="J34" i="10"/>
  <c r="N16" i="10"/>
  <c r="N17" i="10" s="1"/>
  <c r="N19" i="10" s="1"/>
  <c r="O34" i="10"/>
  <c r="I34" i="10"/>
  <c r="N32" i="10"/>
  <c r="N33" i="10" s="1"/>
  <c r="N35" i="10" s="1"/>
  <c r="M32" i="10"/>
  <c r="M33" i="10" s="1"/>
  <c r="H32" i="10"/>
  <c r="H33" i="10" s="1"/>
  <c r="C32" i="10"/>
  <c r="E34" i="10"/>
  <c r="L32" i="10"/>
  <c r="L33" i="10" s="1"/>
  <c r="L35" i="10" s="1"/>
  <c r="G34" i="10"/>
  <c r="B32" i="10"/>
  <c r="M16" i="10"/>
  <c r="M17" i="10" s="1"/>
  <c r="D33" i="10"/>
  <c r="D35" i="10" s="1"/>
  <c r="I33" i="10"/>
  <c r="I35" i="10" s="1"/>
  <c r="O17" i="10"/>
  <c r="E33" i="10"/>
  <c r="B34" i="10"/>
  <c r="B33" i="10"/>
  <c r="G32" i="10"/>
  <c r="G33" i="10" s="1"/>
  <c r="G35" i="10" s="1"/>
  <c r="C33" i="10"/>
  <c r="L19" i="10"/>
  <c r="O33" i="10"/>
  <c r="O18" i="10"/>
  <c r="M17" i="11"/>
  <c r="O16" i="11"/>
  <c r="O17" i="11" s="1"/>
  <c r="O19" i="11" s="1"/>
  <c r="J34" i="11"/>
  <c r="J33" i="11"/>
  <c r="C33" i="11"/>
  <c r="C35" i="11" s="1"/>
  <c r="G33" i="11"/>
  <c r="N32" i="11"/>
  <c r="N33" i="11" s="1"/>
  <c r="N35" i="11" s="1"/>
  <c r="N16" i="11"/>
  <c r="N17" i="11" s="1"/>
  <c r="N19" i="11" s="1"/>
  <c r="E33" i="11"/>
  <c r="E35" i="11" s="1"/>
  <c r="O34" i="11"/>
  <c r="O35" i="11" s="1"/>
  <c r="G35" i="12"/>
  <c r="N35" i="12"/>
  <c r="B34" i="12"/>
  <c r="B35" i="12" s="1"/>
  <c r="I35" i="12"/>
  <c r="M33" i="12"/>
  <c r="C33" i="12"/>
  <c r="H33" i="12"/>
  <c r="J33" i="12"/>
  <c r="E33" i="12"/>
  <c r="E35" i="12" s="1"/>
  <c r="L33" i="12"/>
  <c r="L35" i="12" s="1"/>
  <c r="M17" i="12"/>
  <c r="J34" i="12"/>
  <c r="J35" i="12" s="1"/>
  <c r="O16" i="12"/>
  <c r="O17" i="12" s="1"/>
  <c r="O19" i="12" s="1"/>
  <c r="L34" i="11"/>
  <c r="G34" i="11"/>
  <c r="B34" i="11"/>
  <c r="M34" i="12"/>
  <c r="H34" i="12"/>
  <c r="C34" i="12"/>
  <c r="M18" i="12"/>
  <c r="M34" i="10"/>
  <c r="H34" i="10"/>
  <c r="C34" i="10"/>
  <c r="M18" i="10"/>
  <c r="M35" i="12" l="1"/>
  <c r="C35" i="12"/>
  <c r="G35" i="11"/>
  <c r="M19" i="11"/>
  <c r="L35" i="11"/>
  <c r="O35" i="10"/>
  <c r="M35" i="10"/>
  <c r="E35" i="10"/>
  <c r="H35" i="10"/>
  <c r="B35" i="10"/>
  <c r="M19" i="10"/>
  <c r="C35" i="10"/>
  <c r="O19" i="10"/>
  <c r="B35" i="11"/>
  <c r="J35" i="11"/>
  <c r="H35" i="12"/>
  <c r="M19" i="12"/>
  <c r="M31" i="8"/>
  <c r="N31" i="8"/>
  <c r="O31" i="8"/>
  <c r="L31" i="8"/>
  <c r="H31" i="8"/>
  <c r="I24" i="8"/>
  <c r="I31" i="8"/>
  <c r="J31" i="8"/>
  <c r="G31" i="8"/>
  <c r="G32" i="8"/>
  <c r="C31" i="8"/>
  <c r="D24" i="8"/>
  <c r="D31" i="8"/>
  <c r="E31" i="8"/>
  <c r="B31" i="8"/>
  <c r="M15" i="8"/>
  <c r="N8" i="8"/>
  <c r="N15" i="8"/>
  <c r="O8" i="8"/>
  <c r="O15" i="8"/>
  <c r="L15" i="8"/>
  <c r="L16" i="8"/>
  <c r="M31" i="7"/>
  <c r="N24" i="7"/>
  <c r="N31" i="7"/>
  <c r="O24" i="7"/>
  <c r="O32" i="7" s="1"/>
  <c r="O33" i="7" s="1"/>
  <c r="O35" i="7" s="1"/>
  <c r="O31" i="7"/>
  <c r="L31" i="7"/>
  <c r="H31" i="7"/>
  <c r="I24" i="7"/>
  <c r="I31" i="7"/>
  <c r="J24" i="7"/>
  <c r="J31" i="7"/>
  <c r="G31" i="7"/>
  <c r="C31" i="7"/>
  <c r="D24" i="7"/>
  <c r="D31" i="7"/>
  <c r="E24" i="7"/>
  <c r="E31" i="7"/>
  <c r="B31" i="7"/>
  <c r="M15" i="7"/>
  <c r="N8" i="7"/>
  <c r="N15" i="7"/>
  <c r="O15" i="7"/>
  <c r="L15" i="7"/>
  <c r="L16" i="7"/>
  <c r="M31" i="6"/>
  <c r="N24" i="6"/>
  <c r="N31" i="6"/>
  <c r="O24" i="6"/>
  <c r="O31" i="6"/>
  <c r="L31" i="6"/>
  <c r="H31" i="6"/>
  <c r="I24" i="6"/>
  <c r="I31" i="6"/>
  <c r="J24" i="6"/>
  <c r="J31" i="6"/>
  <c r="G31" i="6"/>
  <c r="C31" i="6"/>
  <c r="D24" i="6"/>
  <c r="D31" i="6"/>
  <c r="E24" i="6"/>
  <c r="E31" i="6"/>
  <c r="B31" i="6"/>
  <c r="M15" i="6"/>
  <c r="N8" i="6"/>
  <c r="N15" i="6"/>
  <c r="O15" i="6"/>
  <c r="L15" i="6"/>
  <c r="O67" i="1"/>
  <c r="O68" i="1" s="1"/>
  <c r="O69" i="1" s="1"/>
  <c r="P67" i="1"/>
  <c r="P70" i="1" s="1"/>
  <c r="Q67" i="1"/>
  <c r="Q68" i="1" s="1"/>
  <c r="Q69" i="1" s="1"/>
  <c r="N67" i="1"/>
  <c r="N70" i="1" s="1"/>
  <c r="K67" i="1"/>
  <c r="K70" i="1" s="1"/>
  <c r="L67" i="1"/>
  <c r="L68" i="1" s="1"/>
  <c r="L69" i="1" s="1"/>
  <c r="M67" i="1"/>
  <c r="M70" i="1" s="1"/>
  <c r="J67" i="1"/>
  <c r="J68" i="1" s="1"/>
  <c r="G67" i="1"/>
  <c r="G68" i="1" s="1"/>
  <c r="G69" i="1" s="1"/>
  <c r="H67" i="1"/>
  <c r="H68" i="1" s="1"/>
  <c r="H69" i="1" s="1"/>
  <c r="I67" i="1"/>
  <c r="I68" i="1" s="1"/>
  <c r="F67" i="1"/>
  <c r="F68" i="1" s="1"/>
  <c r="F69" i="1" s="1"/>
  <c r="C67" i="1"/>
  <c r="C68" i="1" s="1"/>
  <c r="C69" i="1" s="1"/>
  <c r="D67" i="1"/>
  <c r="D68" i="1" s="1"/>
  <c r="D69" i="1" s="1"/>
  <c r="E67" i="1"/>
  <c r="E68" i="1" s="1"/>
  <c r="B67" i="1"/>
  <c r="B68" i="1" s="1"/>
  <c r="B69" i="1" s="1"/>
  <c r="L39" i="1"/>
  <c r="L46" i="1"/>
  <c r="M39" i="1"/>
  <c r="M46" i="1"/>
  <c r="N39" i="1"/>
  <c r="N46" i="1"/>
  <c r="O39" i="1"/>
  <c r="O46" i="1"/>
  <c r="P39" i="1"/>
  <c r="P49" i="1" s="1"/>
  <c r="P46" i="1"/>
  <c r="Q39" i="1"/>
  <c r="Q46" i="1"/>
  <c r="R39" i="1"/>
  <c r="R49" i="1" s="1"/>
  <c r="R46" i="1"/>
  <c r="K39" i="1"/>
  <c r="K46" i="1"/>
  <c r="C23" i="1"/>
  <c r="C30" i="1"/>
  <c r="D23" i="1"/>
  <c r="D30" i="1"/>
  <c r="E23" i="1"/>
  <c r="E30" i="1"/>
  <c r="F23" i="1"/>
  <c r="F33" i="1" s="1"/>
  <c r="F30" i="1"/>
  <c r="G23" i="1"/>
  <c r="G33" i="1" s="1"/>
  <c r="G30" i="1"/>
  <c r="H23" i="1"/>
  <c r="H33" i="1" s="1"/>
  <c r="H30" i="1"/>
  <c r="I23" i="1"/>
  <c r="I30" i="1"/>
  <c r="K23" i="1"/>
  <c r="K33" i="1" s="1"/>
  <c r="K30" i="1"/>
  <c r="L23" i="1"/>
  <c r="L30" i="1"/>
  <c r="M23" i="1"/>
  <c r="M30" i="1"/>
  <c r="N23" i="1"/>
  <c r="N30" i="1"/>
  <c r="O23" i="1"/>
  <c r="O33" i="1" s="1"/>
  <c r="O30" i="1"/>
  <c r="P23" i="1"/>
  <c r="P30" i="1"/>
  <c r="Q23" i="1"/>
  <c r="Q31" i="1" s="1"/>
  <c r="Q30" i="1"/>
  <c r="R23" i="1"/>
  <c r="R30" i="1"/>
  <c r="B23" i="1"/>
  <c r="B30" i="1"/>
  <c r="L7" i="1"/>
  <c r="L14" i="1"/>
  <c r="M7" i="1"/>
  <c r="M14" i="1"/>
  <c r="N7" i="1"/>
  <c r="N14" i="1"/>
  <c r="O7" i="1"/>
  <c r="O17" i="1" s="1"/>
  <c r="O14" i="1"/>
  <c r="P7" i="1"/>
  <c r="P14" i="1"/>
  <c r="Q7" i="1"/>
  <c r="Q14" i="1"/>
  <c r="R7" i="1"/>
  <c r="R14" i="1"/>
  <c r="K7" i="1"/>
  <c r="K14" i="1"/>
  <c r="C67" i="2"/>
  <c r="C70" i="2" s="1"/>
  <c r="D67" i="2"/>
  <c r="D68" i="2" s="1"/>
  <c r="D69" i="2" s="1"/>
  <c r="E67" i="2"/>
  <c r="E68" i="2" s="1"/>
  <c r="E69" i="2" s="1"/>
  <c r="F67" i="2"/>
  <c r="F68" i="2" s="1"/>
  <c r="F69" i="2" s="1"/>
  <c r="G67" i="2"/>
  <c r="G70" i="2" s="1"/>
  <c r="H67" i="2"/>
  <c r="H68" i="2" s="1"/>
  <c r="I67" i="2"/>
  <c r="I68" i="2" s="1"/>
  <c r="I69" i="2" s="1"/>
  <c r="J67" i="2"/>
  <c r="J68" i="2" s="1"/>
  <c r="J69" i="2" s="1"/>
  <c r="K67" i="2"/>
  <c r="K68" i="2" s="1"/>
  <c r="L67" i="2"/>
  <c r="L68" i="2" s="1"/>
  <c r="M67" i="2"/>
  <c r="M68" i="2" s="1"/>
  <c r="N67" i="2"/>
  <c r="N68" i="2" s="1"/>
  <c r="N69" i="2" s="1"/>
  <c r="O67" i="2"/>
  <c r="O70" i="2" s="1"/>
  <c r="P67" i="2"/>
  <c r="P68" i="2" s="1"/>
  <c r="Q67" i="2"/>
  <c r="Q70" i="2" s="1"/>
  <c r="B67" i="2"/>
  <c r="B68" i="2" s="1"/>
  <c r="B69" i="2" s="1"/>
  <c r="L39" i="2"/>
  <c r="L46" i="2"/>
  <c r="M39" i="2"/>
  <c r="M46" i="2"/>
  <c r="N39" i="2"/>
  <c r="N46" i="2"/>
  <c r="O39" i="2"/>
  <c r="O46" i="2"/>
  <c r="P39" i="2"/>
  <c r="P49" i="2" s="1"/>
  <c r="P46" i="2"/>
  <c r="Q39" i="2"/>
  <c r="Q46" i="2"/>
  <c r="R39" i="2"/>
  <c r="R46" i="2"/>
  <c r="K39" i="2"/>
  <c r="K46" i="2"/>
  <c r="L23" i="2"/>
  <c r="L30" i="2"/>
  <c r="M23" i="2"/>
  <c r="M30" i="2"/>
  <c r="N23" i="2"/>
  <c r="N30" i="2"/>
  <c r="O23" i="2"/>
  <c r="O30" i="2"/>
  <c r="P23" i="2"/>
  <c r="P33" i="2" s="1"/>
  <c r="P30" i="2"/>
  <c r="Q23" i="2"/>
  <c r="Q30" i="2"/>
  <c r="R23" i="2"/>
  <c r="R30" i="2"/>
  <c r="K23" i="2"/>
  <c r="K30" i="2"/>
  <c r="C23" i="2"/>
  <c r="C30" i="2"/>
  <c r="D23" i="2"/>
  <c r="D30" i="2"/>
  <c r="E23" i="2"/>
  <c r="E30" i="2"/>
  <c r="F23" i="2"/>
  <c r="F30" i="2"/>
  <c r="G23" i="2"/>
  <c r="G33" i="2" s="1"/>
  <c r="G30" i="2"/>
  <c r="H23" i="2"/>
  <c r="H33" i="2" s="1"/>
  <c r="H30" i="2"/>
  <c r="I23" i="2"/>
  <c r="I30" i="2"/>
  <c r="B23" i="2"/>
  <c r="B30" i="2"/>
  <c r="L7" i="2"/>
  <c r="L14" i="2"/>
  <c r="M7" i="2"/>
  <c r="M14" i="2"/>
  <c r="N7" i="2"/>
  <c r="N14" i="2"/>
  <c r="O7" i="2"/>
  <c r="O14" i="2"/>
  <c r="P7" i="2"/>
  <c r="P17" i="2" s="1"/>
  <c r="P14" i="2"/>
  <c r="Q7" i="2"/>
  <c r="Q17" i="2" s="1"/>
  <c r="Q14" i="2"/>
  <c r="R7" i="2"/>
  <c r="R14" i="2"/>
  <c r="K7" i="2"/>
  <c r="K14" i="2"/>
  <c r="M11" i="1"/>
  <c r="M13" i="1"/>
  <c r="M12" i="1"/>
  <c r="M13" i="7"/>
  <c r="L13" i="7"/>
  <c r="L70" i="2"/>
  <c r="D70" i="1"/>
  <c r="G41" i="8"/>
  <c r="F41" i="8"/>
  <c r="E41" i="8"/>
  <c r="M24" i="8" s="1"/>
  <c r="D41" i="8"/>
  <c r="G40" i="8"/>
  <c r="F40" i="8"/>
  <c r="E40" i="8"/>
  <c r="H24" i="8" s="1"/>
  <c r="D40" i="8"/>
  <c r="G24" i="8" s="1"/>
  <c r="G39" i="8"/>
  <c r="F39" i="8"/>
  <c r="D39" i="8"/>
  <c r="B24" i="8" s="1"/>
  <c r="B34" i="8" s="1"/>
  <c r="G38" i="8"/>
  <c r="F38" i="8"/>
  <c r="D38" i="8"/>
  <c r="L8" i="8" s="1"/>
  <c r="G41" i="7"/>
  <c r="F41" i="7"/>
  <c r="E41" i="7"/>
  <c r="M24" i="7" s="1"/>
  <c r="D41" i="7"/>
  <c r="L24" i="7" s="1"/>
  <c r="G40" i="7"/>
  <c r="F40" i="7"/>
  <c r="E40" i="7"/>
  <c r="H24" i="7" s="1"/>
  <c r="D40" i="7"/>
  <c r="G24" i="7" s="1"/>
  <c r="G39" i="7"/>
  <c r="F39" i="7"/>
  <c r="G38" i="7"/>
  <c r="F38" i="7"/>
  <c r="G41" i="6"/>
  <c r="F41" i="6"/>
  <c r="E41" i="6"/>
  <c r="M24" i="6" s="1"/>
  <c r="D41" i="6"/>
  <c r="L24" i="6" s="1"/>
  <c r="G40" i="6"/>
  <c r="F40" i="6"/>
  <c r="E40" i="6"/>
  <c r="H24" i="6" s="1"/>
  <c r="D40" i="6"/>
  <c r="G24" i="6" s="1"/>
  <c r="G39" i="6"/>
  <c r="F39" i="6"/>
  <c r="G38" i="6"/>
  <c r="F38" i="6"/>
  <c r="E39" i="8"/>
  <c r="C24" i="8" s="1"/>
  <c r="E38" i="8"/>
  <c r="M8" i="8" s="1"/>
  <c r="E39" i="7"/>
  <c r="C24" i="7" s="1"/>
  <c r="D39" i="7"/>
  <c r="B24" i="7" s="1"/>
  <c r="E38" i="7"/>
  <c r="D38" i="7"/>
  <c r="L8" i="7" s="1"/>
  <c r="E39" i="6"/>
  <c r="C24" i="6" s="1"/>
  <c r="D39" i="6"/>
  <c r="B24" i="6" s="1"/>
  <c r="E38" i="6"/>
  <c r="D38" i="6"/>
  <c r="L8" i="6" s="1"/>
  <c r="N30" i="8"/>
  <c r="J41" i="7"/>
  <c r="H30" i="7"/>
  <c r="J41" i="6"/>
  <c r="L12" i="6"/>
  <c r="G59" i="2"/>
  <c r="R29" i="2" s="1"/>
  <c r="O30" i="8"/>
  <c r="M28" i="8"/>
  <c r="M29" i="8"/>
  <c r="M30" i="8"/>
  <c r="L28" i="8"/>
  <c r="L29" i="8"/>
  <c r="L30" i="8"/>
  <c r="J30" i="8"/>
  <c r="I30" i="8"/>
  <c r="H28" i="8"/>
  <c r="H29" i="8"/>
  <c r="H30" i="8"/>
  <c r="G28" i="8"/>
  <c r="G29" i="8"/>
  <c r="G30" i="8"/>
  <c r="B30" i="8"/>
  <c r="E30" i="8"/>
  <c r="D30" i="8"/>
  <c r="C28" i="8"/>
  <c r="C29" i="8"/>
  <c r="C30" i="8"/>
  <c r="B28" i="8"/>
  <c r="B29" i="8"/>
  <c r="L14" i="8"/>
  <c r="O14" i="8"/>
  <c r="N14" i="8"/>
  <c r="M12" i="8"/>
  <c r="M18" i="8" s="1"/>
  <c r="M13" i="8"/>
  <c r="M14" i="8"/>
  <c r="L12" i="8"/>
  <c r="L13" i="8"/>
  <c r="M28" i="7"/>
  <c r="M29" i="7"/>
  <c r="L28" i="7"/>
  <c r="L29" i="7"/>
  <c r="J30" i="7"/>
  <c r="H28" i="7"/>
  <c r="H29" i="7"/>
  <c r="G28" i="7"/>
  <c r="G29" i="7"/>
  <c r="B30" i="7"/>
  <c r="E30" i="7"/>
  <c r="D30" i="7"/>
  <c r="C28" i="7"/>
  <c r="C29" i="7"/>
  <c r="B28" i="7"/>
  <c r="B29" i="7"/>
  <c r="L14" i="7"/>
  <c r="O14" i="7"/>
  <c r="M12" i="7"/>
  <c r="L12" i="7"/>
  <c r="N34" i="6"/>
  <c r="N30" i="6"/>
  <c r="M28" i="6"/>
  <c r="M29" i="6"/>
  <c r="L28" i="6"/>
  <c r="L29" i="6"/>
  <c r="J30" i="6"/>
  <c r="H28" i="6"/>
  <c r="H29" i="6"/>
  <c r="G28" i="6"/>
  <c r="G29" i="6"/>
  <c r="G30" i="6"/>
  <c r="D30" i="6"/>
  <c r="C28" i="6"/>
  <c r="C29" i="6"/>
  <c r="B28" i="6"/>
  <c r="B29" i="6"/>
  <c r="L14" i="6"/>
  <c r="O14" i="6"/>
  <c r="N14" i="6"/>
  <c r="M12" i="6"/>
  <c r="M13" i="6"/>
  <c r="M14" i="6"/>
  <c r="L13" i="6"/>
  <c r="P29" i="1"/>
  <c r="O44" i="2"/>
  <c r="N44" i="2"/>
  <c r="M44" i="2"/>
  <c r="L44" i="2"/>
  <c r="K44" i="2"/>
  <c r="N28" i="2"/>
  <c r="M28" i="2"/>
  <c r="L28" i="2"/>
  <c r="K28" i="2"/>
  <c r="E28" i="2"/>
  <c r="D28" i="2"/>
  <c r="C28" i="2"/>
  <c r="B28" i="2"/>
  <c r="N12" i="2"/>
  <c r="M12" i="2"/>
  <c r="L12" i="2"/>
  <c r="K12" i="2"/>
  <c r="M11" i="2"/>
  <c r="K11" i="2"/>
  <c r="N43" i="2"/>
  <c r="O44" i="1"/>
  <c r="N44" i="1"/>
  <c r="M44" i="1"/>
  <c r="L44" i="1"/>
  <c r="K44" i="1"/>
  <c r="N28" i="1"/>
  <c r="M28" i="1"/>
  <c r="L28" i="1"/>
  <c r="K28" i="1"/>
  <c r="E28" i="1"/>
  <c r="D28" i="1"/>
  <c r="C28" i="1"/>
  <c r="B28" i="1"/>
  <c r="N12" i="1"/>
  <c r="L12" i="1"/>
  <c r="K12" i="1"/>
  <c r="K11" i="1"/>
  <c r="N43" i="1"/>
  <c r="L11" i="2"/>
  <c r="N11" i="2"/>
  <c r="B27" i="2"/>
  <c r="D27" i="2"/>
  <c r="K27" i="2"/>
  <c r="M27" i="2"/>
  <c r="K43" i="2"/>
  <c r="M43" i="2"/>
  <c r="C27" i="2"/>
  <c r="E27" i="2"/>
  <c r="L27" i="2"/>
  <c r="N27" i="2"/>
  <c r="L43" i="2"/>
  <c r="L11" i="1"/>
  <c r="N11" i="1"/>
  <c r="B27" i="1"/>
  <c r="D27" i="1"/>
  <c r="K27" i="1"/>
  <c r="M27" i="1"/>
  <c r="D29" i="1"/>
  <c r="I29" i="1" s="1"/>
  <c r="K43" i="1"/>
  <c r="M43" i="1"/>
  <c r="C27" i="1"/>
  <c r="E27" i="1"/>
  <c r="L27" i="1"/>
  <c r="N27" i="1"/>
  <c r="L43" i="1"/>
  <c r="K45" i="1"/>
  <c r="O34" i="7"/>
  <c r="O29" i="1"/>
  <c r="R13" i="1"/>
  <c r="B29" i="1"/>
  <c r="G29" i="1" s="1"/>
  <c r="R45" i="1"/>
  <c r="E29" i="1"/>
  <c r="L45" i="1"/>
  <c r="R29" i="1"/>
  <c r="C29" i="1"/>
  <c r="H29" i="1" s="1"/>
  <c r="Q29" i="1"/>
  <c r="O13" i="1"/>
  <c r="M34" i="8"/>
  <c r="N14" i="7"/>
  <c r="C34" i="7"/>
  <c r="B70" i="2"/>
  <c r="Q70" i="1"/>
  <c r="C70" i="1"/>
  <c r="N45" i="1"/>
  <c r="F29" i="1"/>
  <c r="M30" i="6"/>
  <c r="C30" i="6"/>
  <c r="H30" i="6"/>
  <c r="O30" i="6"/>
  <c r="L30" i="6"/>
  <c r="I30" i="6"/>
  <c r="B30" i="6"/>
  <c r="E30" i="6"/>
  <c r="O30" i="7"/>
  <c r="M30" i="7"/>
  <c r="L30" i="7"/>
  <c r="G30" i="7"/>
  <c r="C30" i="7"/>
  <c r="M14" i="7"/>
  <c r="N30" i="7"/>
  <c r="I30" i="7"/>
  <c r="Q45" i="1"/>
  <c r="Q13" i="1"/>
  <c r="K29" i="1"/>
  <c r="L13" i="1"/>
  <c r="L29" i="1"/>
  <c r="M45" i="1"/>
  <c r="M29" i="1"/>
  <c r="N13" i="1"/>
  <c r="N29" i="1"/>
  <c r="O45" i="1"/>
  <c r="K13" i="1"/>
  <c r="P13" i="1" s="1"/>
  <c r="P45" i="1"/>
  <c r="M34" i="6"/>
  <c r="L18" i="8"/>
  <c r="L45" i="2" l="1"/>
  <c r="B34" i="6"/>
  <c r="C33" i="8"/>
  <c r="C34" i="8"/>
  <c r="C32" i="8"/>
  <c r="H32" i="8"/>
  <c r="H33" i="8" s="1"/>
  <c r="H35" i="8" s="1"/>
  <c r="M32" i="8"/>
  <c r="M33" i="8"/>
  <c r="M35" i="8" s="1"/>
  <c r="B32" i="6"/>
  <c r="B33" i="6" s="1"/>
  <c r="I34" i="6"/>
  <c r="I32" i="6"/>
  <c r="I33" i="6"/>
  <c r="D32" i="7"/>
  <c r="D33" i="7" s="1"/>
  <c r="D35" i="7" s="1"/>
  <c r="D34" i="7"/>
  <c r="C32" i="6"/>
  <c r="C33" i="6"/>
  <c r="C35" i="6" s="1"/>
  <c r="C32" i="7"/>
  <c r="C33" i="7"/>
  <c r="C35" i="7" s="1"/>
  <c r="G34" i="6"/>
  <c r="G33" i="6"/>
  <c r="G35" i="6" s="1"/>
  <c r="L34" i="6"/>
  <c r="G34" i="7"/>
  <c r="G33" i="7"/>
  <c r="L34" i="7"/>
  <c r="L17" i="8"/>
  <c r="L19" i="8" s="1"/>
  <c r="D34" i="6"/>
  <c r="D32" i="6"/>
  <c r="D33" i="6" s="1"/>
  <c r="O32" i="6"/>
  <c r="N16" i="7"/>
  <c r="N17" i="7"/>
  <c r="N18" i="7"/>
  <c r="N19" i="7" s="1"/>
  <c r="J32" i="7"/>
  <c r="J33" i="7" s="1"/>
  <c r="L32" i="7"/>
  <c r="N18" i="8"/>
  <c r="N16" i="8"/>
  <c r="N17" i="8" s="1"/>
  <c r="N19" i="8" s="1"/>
  <c r="I32" i="8"/>
  <c r="I33" i="8" s="1"/>
  <c r="I34" i="8"/>
  <c r="C34" i="6"/>
  <c r="L33" i="7"/>
  <c r="L18" i="6"/>
  <c r="L18" i="7"/>
  <c r="L17" i="7"/>
  <c r="L19" i="7" s="1"/>
  <c r="M17" i="8"/>
  <c r="M19" i="8" s="1"/>
  <c r="M16" i="8"/>
  <c r="H32" i="6"/>
  <c r="H33" i="6" s="1"/>
  <c r="H35" i="6" s="1"/>
  <c r="H34" i="6"/>
  <c r="M32" i="6"/>
  <c r="M33" i="6"/>
  <c r="M35" i="6" s="1"/>
  <c r="H32" i="7"/>
  <c r="H33" i="7"/>
  <c r="H34" i="7"/>
  <c r="M34" i="7"/>
  <c r="M32" i="7"/>
  <c r="M33" i="7" s="1"/>
  <c r="L16" i="6"/>
  <c r="L17" i="6" s="1"/>
  <c r="N18" i="6"/>
  <c r="N16" i="6"/>
  <c r="N17" i="6" s="1"/>
  <c r="N19" i="6" s="1"/>
  <c r="J32" i="6"/>
  <c r="J33" i="6" s="1"/>
  <c r="J35" i="6" s="1"/>
  <c r="L32" i="6"/>
  <c r="L33" i="6" s="1"/>
  <c r="L35" i="6" s="1"/>
  <c r="E32" i="7"/>
  <c r="G32" i="7"/>
  <c r="N33" i="7"/>
  <c r="N35" i="7" s="1"/>
  <c r="N32" i="7"/>
  <c r="N34" i="7"/>
  <c r="H34" i="8"/>
  <c r="B34" i="7"/>
  <c r="B33" i="8"/>
  <c r="B35" i="8" s="1"/>
  <c r="M8" i="6"/>
  <c r="O8" i="6"/>
  <c r="M8" i="7"/>
  <c r="O8" i="7"/>
  <c r="G33" i="8"/>
  <c r="G35" i="8" s="1"/>
  <c r="G34" i="8"/>
  <c r="L24" i="8"/>
  <c r="N24" i="8"/>
  <c r="E32" i="6"/>
  <c r="E33" i="6" s="1"/>
  <c r="E35" i="6" s="1"/>
  <c r="G32" i="6"/>
  <c r="N32" i="6"/>
  <c r="N33" i="6"/>
  <c r="N35" i="6" s="1"/>
  <c r="B32" i="7"/>
  <c r="B33" i="7" s="1"/>
  <c r="I32" i="7"/>
  <c r="I34" i="7"/>
  <c r="I33" i="7"/>
  <c r="I35" i="7" s="1"/>
  <c r="O16" i="8"/>
  <c r="O17" i="8" s="1"/>
  <c r="O19" i="8" s="1"/>
  <c r="B32" i="8"/>
  <c r="D34" i="8"/>
  <c r="D32" i="8"/>
  <c r="D33" i="8" s="1"/>
  <c r="D35" i="8" s="1"/>
  <c r="E24" i="8"/>
  <c r="J24" i="8"/>
  <c r="O24" i="8"/>
  <c r="E34" i="6"/>
  <c r="O34" i="6"/>
  <c r="K45" i="2"/>
  <c r="O18" i="8"/>
  <c r="J34" i="7"/>
  <c r="O33" i="6"/>
  <c r="O35" i="6" s="1"/>
  <c r="J34" i="6"/>
  <c r="E33" i="7"/>
  <c r="E34" i="7"/>
  <c r="E29" i="2"/>
  <c r="E70" i="1"/>
  <c r="L17" i="1"/>
  <c r="L33" i="1"/>
  <c r="O45" i="2"/>
  <c r="M29" i="2"/>
  <c r="Q13" i="2"/>
  <c r="O29" i="2"/>
  <c r="P45" i="2"/>
  <c r="P29" i="2"/>
  <c r="K29" i="2"/>
  <c r="K13" i="2"/>
  <c r="P13" i="2" s="1"/>
  <c r="C29" i="2"/>
  <c r="H29" i="2" s="1"/>
  <c r="L29" i="2"/>
  <c r="Q29" i="2"/>
  <c r="L13" i="2"/>
  <c r="M45" i="2"/>
  <c r="F29" i="2"/>
  <c r="Q45" i="2"/>
  <c r="M13" i="2"/>
  <c r="B29" i="2"/>
  <c r="G29" i="2" s="1"/>
  <c r="D29" i="2"/>
  <c r="I29" i="2" s="1"/>
  <c r="L49" i="2"/>
  <c r="R13" i="2"/>
  <c r="N45" i="2"/>
  <c r="N13" i="2"/>
  <c r="O13" i="2"/>
  <c r="N29" i="2"/>
  <c r="R45" i="2"/>
  <c r="N70" i="2"/>
  <c r="N71" i="2" s="1"/>
  <c r="M15" i="2"/>
  <c r="Q31" i="2"/>
  <c r="L15" i="2"/>
  <c r="G31" i="2"/>
  <c r="G32" i="2" s="1"/>
  <c r="G34" i="2" s="1"/>
  <c r="L31" i="2"/>
  <c r="I70" i="2"/>
  <c r="I71" i="2" s="1"/>
  <c r="B31" i="1"/>
  <c r="B32" i="1" s="1"/>
  <c r="G70" i="1"/>
  <c r="G71" i="1" s="1"/>
  <c r="N15" i="1"/>
  <c r="N16" i="1" s="1"/>
  <c r="E31" i="1"/>
  <c r="E32" i="1" s="1"/>
  <c r="H70" i="1"/>
  <c r="H71" i="1" s="1"/>
  <c r="F70" i="1"/>
  <c r="F71" i="1" s="1"/>
  <c r="M68" i="1"/>
  <c r="M69" i="1" s="1"/>
  <c r="M71" i="1" s="1"/>
  <c r="K49" i="1"/>
  <c r="C31" i="1"/>
  <c r="C32" i="1" s="1"/>
  <c r="O70" i="1"/>
  <c r="O71" i="1" s="1"/>
  <c r="M17" i="1"/>
  <c r="J70" i="1"/>
  <c r="N17" i="2"/>
  <c r="N33" i="2"/>
  <c r="N49" i="2"/>
  <c r="N31" i="2"/>
  <c r="M31" i="2"/>
  <c r="Q47" i="2"/>
  <c r="Q33" i="2"/>
  <c r="C68" i="2"/>
  <c r="C69" i="2" s="1"/>
  <c r="C71" i="2" s="1"/>
  <c r="Q33" i="1"/>
  <c r="L15" i="1"/>
  <c r="L16" i="1" s="1"/>
  <c r="L18" i="1" s="1"/>
  <c r="O15" i="1"/>
  <c r="O16" i="1" s="1"/>
  <c r="O18" i="1" s="1"/>
  <c r="F31" i="1"/>
  <c r="F32" i="1" s="1"/>
  <c r="F34" i="1" s="1"/>
  <c r="L47" i="1"/>
  <c r="L48" i="1" s="1"/>
  <c r="K68" i="1"/>
  <c r="K69" i="1" s="1"/>
  <c r="K71" i="1" s="1"/>
  <c r="K47" i="1"/>
  <c r="K48" i="1" s="1"/>
  <c r="O47" i="1"/>
  <c r="O48" i="1" s="1"/>
  <c r="N31" i="1"/>
  <c r="N32" i="1" s="1"/>
  <c r="N47" i="1"/>
  <c r="N48" i="1" s="1"/>
  <c r="K15" i="1"/>
  <c r="K16" i="1" s="1"/>
  <c r="L31" i="1"/>
  <c r="L32" i="1" s="1"/>
  <c r="H31" i="1"/>
  <c r="H32" i="1" s="1"/>
  <c r="H34" i="1" s="1"/>
  <c r="B70" i="1"/>
  <c r="B71" i="1" s="1"/>
  <c r="O31" i="1"/>
  <c r="O32" i="1" s="1"/>
  <c r="O34" i="1" s="1"/>
  <c r="E69" i="1"/>
  <c r="E33" i="1"/>
  <c r="Q47" i="1"/>
  <c r="Q48" i="1" s="1"/>
  <c r="D71" i="1"/>
  <c r="I70" i="1"/>
  <c r="Q15" i="1"/>
  <c r="Q16" i="1" s="1"/>
  <c r="K31" i="1"/>
  <c r="K32" i="1" s="1"/>
  <c r="K34" i="1" s="1"/>
  <c r="I69" i="1"/>
  <c r="D33" i="2"/>
  <c r="M69" i="2"/>
  <c r="M70" i="2"/>
  <c r="R15" i="2"/>
  <c r="K70" i="2"/>
  <c r="K69" i="2"/>
  <c r="J70" i="2"/>
  <c r="J71" i="2" s="1"/>
  <c r="E33" i="2"/>
  <c r="Q15" i="2"/>
  <c r="Q16" i="2" s="1"/>
  <c r="Q18" i="2" s="1"/>
  <c r="I31" i="2"/>
  <c r="D70" i="2"/>
  <c r="D71" i="2" s="1"/>
  <c r="L47" i="2"/>
  <c r="L48" i="2" s="1"/>
  <c r="E31" i="2"/>
  <c r="P70" i="2"/>
  <c r="M33" i="2"/>
  <c r="L17" i="2"/>
  <c r="N15" i="2"/>
  <c r="B31" i="2"/>
  <c r="B32" i="2" s="1"/>
  <c r="F31" i="2"/>
  <c r="F32" i="2" s="1"/>
  <c r="B71" i="2"/>
  <c r="G68" i="2"/>
  <c r="G69" i="2" s="1"/>
  <c r="G71" i="2" s="1"/>
  <c r="E70" i="2"/>
  <c r="E71" i="2" s="1"/>
  <c r="Q68" i="2"/>
  <c r="Q69" i="2" s="1"/>
  <c r="Q71" i="2" s="1"/>
  <c r="F70" i="2"/>
  <c r="F71" i="2" s="1"/>
  <c r="N47" i="2"/>
  <c r="P15" i="2"/>
  <c r="O68" i="2"/>
  <c r="O69" i="2" s="1"/>
  <c r="O71" i="2" s="1"/>
  <c r="C31" i="2"/>
  <c r="O15" i="2"/>
  <c r="O16" i="2" s="1"/>
  <c r="D33" i="1"/>
  <c r="C33" i="1"/>
  <c r="L49" i="1"/>
  <c r="C71" i="1"/>
  <c r="Q71" i="1"/>
  <c r="R31" i="1"/>
  <c r="R32" i="1" s="1"/>
  <c r="R47" i="1"/>
  <c r="R48" i="1" s="1"/>
  <c r="R50" i="1" s="1"/>
  <c r="N49" i="1"/>
  <c r="B33" i="1"/>
  <c r="Q49" i="1"/>
  <c r="J69" i="1"/>
  <c r="P15" i="1"/>
  <c r="P16" i="1" s="1"/>
  <c r="M15" i="1"/>
  <c r="M16" i="1" s="1"/>
  <c r="G31" i="1"/>
  <c r="G32" i="1" s="1"/>
  <c r="G34" i="1" s="1"/>
  <c r="N68" i="1"/>
  <c r="N69" i="1" s="1"/>
  <c r="N71" i="1" s="1"/>
  <c r="I31" i="1"/>
  <c r="I32" i="1" s="1"/>
  <c r="N17" i="1"/>
  <c r="Q17" i="1"/>
  <c r="R15" i="1"/>
  <c r="R16" i="1" s="1"/>
  <c r="L70" i="1"/>
  <c r="L71" i="1" s="1"/>
  <c r="Q32" i="1"/>
  <c r="P31" i="1"/>
  <c r="P32" i="1" s="1"/>
  <c r="M31" i="1"/>
  <c r="M32" i="1" s="1"/>
  <c r="P47" i="1"/>
  <c r="P48" i="1" s="1"/>
  <c r="P50" i="1" s="1"/>
  <c r="P68" i="1"/>
  <c r="P69" i="1" s="1"/>
  <c r="P71" i="1" s="1"/>
  <c r="I33" i="1"/>
  <c r="M33" i="1"/>
  <c r="N33" i="1"/>
  <c r="P17" i="1"/>
  <c r="P33" i="1"/>
  <c r="M49" i="1"/>
  <c r="O49" i="1"/>
  <c r="K17" i="1"/>
  <c r="R17" i="1"/>
  <c r="R33" i="1"/>
  <c r="D31" i="1"/>
  <c r="D32" i="1" s="1"/>
  <c r="M47" i="1"/>
  <c r="M48" i="1" s="1"/>
  <c r="Q49" i="2"/>
  <c r="D31" i="2"/>
  <c r="Q32" i="2"/>
  <c r="B33" i="2"/>
  <c r="K15" i="2"/>
  <c r="K49" i="2"/>
  <c r="P31" i="2"/>
  <c r="M17" i="2"/>
  <c r="K17" i="2"/>
  <c r="I33" i="2"/>
  <c r="K33" i="2"/>
  <c r="P47" i="2"/>
  <c r="P48" i="2" s="1"/>
  <c r="P50" i="2" s="1"/>
  <c r="R31" i="2"/>
  <c r="R32" i="2" s="1"/>
  <c r="K47" i="2"/>
  <c r="L33" i="2"/>
  <c r="M49" i="2"/>
  <c r="H31" i="2"/>
  <c r="O17" i="2"/>
  <c r="L69" i="2"/>
  <c r="L71" i="2" s="1"/>
  <c r="H69" i="2"/>
  <c r="R33" i="2"/>
  <c r="P69" i="2"/>
  <c r="K31" i="2"/>
  <c r="O49" i="2"/>
  <c r="R17" i="2"/>
  <c r="H70" i="2"/>
  <c r="F33" i="2"/>
  <c r="M47" i="2"/>
  <c r="C33" i="2"/>
  <c r="R49" i="2"/>
  <c r="R47" i="2"/>
  <c r="O33" i="2"/>
  <c r="O31" i="2"/>
  <c r="O47" i="2"/>
  <c r="L34" i="1" l="1"/>
  <c r="R48" i="2"/>
  <c r="R50" i="2" s="1"/>
  <c r="L16" i="2"/>
  <c r="K48" i="2"/>
  <c r="K50" i="2" s="1"/>
  <c r="E32" i="2"/>
  <c r="E34" i="2" s="1"/>
  <c r="N48" i="2"/>
  <c r="N50" i="2" s="1"/>
  <c r="M16" i="6"/>
  <c r="M17" i="6" s="1"/>
  <c r="M19" i="6" s="1"/>
  <c r="M18" i="6"/>
  <c r="B35" i="7"/>
  <c r="L19" i="6"/>
  <c r="I35" i="8"/>
  <c r="P32" i="2"/>
  <c r="P34" i="2" s="1"/>
  <c r="I32" i="2"/>
  <c r="I34" i="2" s="1"/>
  <c r="O32" i="8"/>
  <c r="O33" i="8" s="1"/>
  <c r="O34" i="8"/>
  <c r="N34" i="8"/>
  <c r="N32" i="8"/>
  <c r="N33" i="8"/>
  <c r="O16" i="7"/>
  <c r="O17" i="7"/>
  <c r="O19" i="7" s="1"/>
  <c r="O18" i="7"/>
  <c r="D35" i="6"/>
  <c r="G35" i="7"/>
  <c r="O48" i="2"/>
  <c r="O50" i="2" s="1"/>
  <c r="N16" i="2"/>
  <c r="N18" i="2" s="1"/>
  <c r="J32" i="8"/>
  <c r="J33" i="8"/>
  <c r="J34" i="8"/>
  <c r="J35" i="8" s="1"/>
  <c r="L32" i="8"/>
  <c r="L33" i="8" s="1"/>
  <c r="L35" i="8" s="1"/>
  <c r="L34" i="8"/>
  <c r="M17" i="7"/>
  <c r="M19" i="7" s="1"/>
  <c r="M18" i="7"/>
  <c r="M16" i="7"/>
  <c r="M35" i="7"/>
  <c r="I35" i="6"/>
  <c r="B35" i="6"/>
  <c r="O32" i="2"/>
  <c r="O34" i="2" s="1"/>
  <c r="H32" i="2"/>
  <c r="H34" i="2" s="1"/>
  <c r="C32" i="2"/>
  <c r="C34" i="2" s="1"/>
  <c r="R16" i="2"/>
  <c r="R18" i="2" s="1"/>
  <c r="E35" i="7"/>
  <c r="E32" i="8"/>
  <c r="E33" i="8"/>
  <c r="E35" i="8" s="1"/>
  <c r="E34" i="8"/>
  <c r="O16" i="6"/>
  <c r="O17" i="6"/>
  <c r="O18" i="6"/>
  <c r="H35" i="7"/>
  <c r="J35" i="7"/>
  <c r="L35" i="7"/>
  <c r="C35" i="8"/>
  <c r="L50" i="2"/>
  <c r="N32" i="2"/>
  <c r="N34" i="2" s="1"/>
  <c r="L32" i="2"/>
  <c r="L34" i="2" s="1"/>
  <c r="E71" i="1"/>
  <c r="J71" i="1"/>
  <c r="K16" i="2"/>
  <c r="K18" i="2" s="1"/>
  <c r="K32" i="2"/>
  <c r="K34" i="2" s="1"/>
  <c r="D32" i="2"/>
  <c r="D34" i="2" s="1"/>
  <c r="M48" i="2"/>
  <c r="M50" i="2" s="1"/>
  <c r="M16" i="2"/>
  <c r="M18" i="2" s="1"/>
  <c r="O18" i="2"/>
  <c r="P16" i="2"/>
  <c r="P18" i="2" s="1"/>
  <c r="Q48" i="2"/>
  <c r="Q50" i="2" s="1"/>
  <c r="M32" i="2"/>
  <c r="M34" i="2" s="1"/>
  <c r="K71" i="2"/>
  <c r="M71" i="2"/>
  <c r="K50" i="1"/>
  <c r="O50" i="1"/>
  <c r="M18" i="1"/>
  <c r="P71" i="2"/>
  <c r="Q34" i="2"/>
  <c r="M50" i="1"/>
  <c r="L50" i="1"/>
  <c r="B34" i="1"/>
  <c r="Q50" i="1"/>
  <c r="D34" i="1"/>
  <c r="Q34" i="1"/>
  <c r="N50" i="1"/>
  <c r="E34" i="1"/>
  <c r="C34" i="1"/>
  <c r="I71" i="1"/>
  <c r="L18" i="2"/>
  <c r="R34" i="2"/>
  <c r="K18" i="1"/>
  <c r="N34" i="1"/>
  <c r="Q18" i="1"/>
  <c r="N18" i="1"/>
  <c r="P34" i="1"/>
  <c r="P18" i="1"/>
  <c r="R34" i="1"/>
  <c r="R18" i="1"/>
  <c r="I34" i="1"/>
  <c r="M34" i="1"/>
  <c r="B34" i="2"/>
  <c r="H71" i="2"/>
  <c r="F34" i="2"/>
  <c r="O19" i="6" l="1"/>
  <c r="N35" i="8"/>
  <c r="O35" i="8"/>
</calcChain>
</file>

<file path=xl/sharedStrings.xml><?xml version="1.0" encoding="utf-8"?>
<sst xmlns="http://schemas.openxmlformats.org/spreadsheetml/2006/main" count="1147" uniqueCount="121">
  <si>
    <t># Nights</t>
  </si>
  <si>
    <t>COURTYARD</t>
  </si>
  <si>
    <t># Days Diving</t>
  </si>
  <si>
    <t>% Commission</t>
  </si>
  <si>
    <t>Dive Package</t>
  </si>
  <si>
    <t>Non Dive Package</t>
  </si>
  <si>
    <t>Occupancy</t>
  </si>
  <si>
    <t>Single</t>
  </si>
  <si>
    <t>Double</t>
  </si>
  <si>
    <t>Triple</t>
  </si>
  <si>
    <t>Quad</t>
  </si>
  <si>
    <t xml:space="preserve">Triple </t>
  </si>
  <si>
    <t>Commissionable</t>
  </si>
  <si>
    <t xml:space="preserve">Courtyard </t>
  </si>
  <si>
    <t>Package Features</t>
  </si>
  <si>
    <t>Dive</t>
  </si>
  <si>
    <t xml:space="preserve"> Diver</t>
  </si>
  <si>
    <t>Non Diver</t>
  </si>
  <si>
    <t>Ocean View</t>
  </si>
  <si>
    <t>TAXI</t>
  </si>
  <si>
    <t>Room</t>
  </si>
  <si>
    <t>Suite</t>
  </si>
  <si>
    <t>PBAR</t>
  </si>
  <si>
    <t>Apartment</t>
  </si>
  <si>
    <t>PGIFT</t>
  </si>
  <si>
    <t xml:space="preserve"> </t>
  </si>
  <si>
    <t>Diving</t>
  </si>
  <si>
    <t>Per Day of Diving</t>
  </si>
  <si>
    <t>Non Commissionable</t>
  </si>
  <si>
    <t>One Time Charge</t>
  </si>
  <si>
    <t xml:space="preserve">Package  contains taxi transfers </t>
  </si>
  <si>
    <t>Breakfast (APLAN)</t>
  </si>
  <si>
    <t>Per Night</t>
  </si>
  <si>
    <t>from and to airport.</t>
  </si>
  <si>
    <t>Package</t>
  </si>
  <si>
    <t>Tax and Service</t>
  </si>
  <si>
    <t>Daily Off Menu Breakfast</t>
  </si>
  <si>
    <t>APLAN</t>
  </si>
  <si>
    <t>Welcome Drink and Gift</t>
  </si>
  <si>
    <t>Rack</t>
  </si>
  <si>
    <t>Commission</t>
  </si>
  <si>
    <t>Net Sale</t>
  </si>
  <si>
    <t>OCEAN VIEW</t>
  </si>
  <si>
    <t>SUITES</t>
  </si>
  <si>
    <t>Diver</t>
  </si>
  <si>
    <t>APARTMENT</t>
  </si>
  <si>
    <t xml:space="preserve">APLAN </t>
  </si>
  <si>
    <t>Packages contain diving (if dive package), Breakfast, Transfers from and to GCM, Welcome Drink and Gift and all Tax and Service Charges</t>
  </si>
  <si>
    <t xml:space="preserve">T&amp;S </t>
  </si>
  <si>
    <t>T&amp;S</t>
  </si>
  <si>
    <t>Courtyard</t>
  </si>
  <si>
    <t>Room Only</t>
  </si>
  <si>
    <t>Apartments</t>
  </si>
  <si>
    <t>Energy Supplement</t>
  </si>
  <si>
    <t>Guest Supplement</t>
  </si>
  <si>
    <t>Level 1</t>
  </si>
  <si>
    <t>Deposit $100 per room</t>
  </si>
  <si>
    <t>Nitrox</t>
  </si>
  <si>
    <t>Group Incentive</t>
  </si>
  <si>
    <t>Energy Surcharge</t>
  </si>
  <si>
    <t>Level 2</t>
  </si>
  <si>
    <t>Level 3</t>
  </si>
  <si>
    <t xml:space="preserve">DEMA Las Vegas Special </t>
  </si>
  <si>
    <t>7 Night Minimum</t>
  </si>
  <si>
    <t>Kittiwake</t>
  </si>
  <si>
    <t>Tour Excurision</t>
  </si>
  <si>
    <t>Stingray City</t>
  </si>
  <si>
    <t>DEMA Las Vegas Special</t>
  </si>
  <si>
    <t>5 Dive Days Minimum</t>
  </si>
  <si>
    <t>Room Rate Only per night per room</t>
  </si>
  <si>
    <t xml:space="preserve">Dive Package </t>
  </si>
  <si>
    <t>Diving in Package</t>
  </si>
  <si>
    <t>25% of Room Rate + 15% for Breakfast</t>
  </si>
  <si>
    <t>25% of Room Rate + 15% Service for Breakfast</t>
  </si>
  <si>
    <r>
      <t>•</t>
    </r>
    <r>
      <rPr>
        <b/>
        <sz val="16"/>
        <color rgb="FF000000"/>
        <rFont val="Calibri"/>
        <family val="2"/>
        <scheme val="minor"/>
      </rPr>
      <t>Must book DEMA Special by December 31, 2019</t>
    </r>
  </si>
  <si>
    <t xml:space="preserve">For Travel  Jan 11 - Apr 17, 2020 </t>
  </si>
  <si>
    <t xml:space="preserve">DEMA Orlando Special </t>
  </si>
  <si>
    <t>For Travel Apr 18 – Aug 2, 2020</t>
  </si>
  <si>
    <t>For Travel Aug 3 - Dec 20, 2020</t>
  </si>
  <si>
    <t>Winter 2020-2021</t>
  </si>
  <si>
    <t>Dec 19, 2020 – April 17, 2021</t>
  </si>
  <si>
    <t>Summer 2021</t>
  </si>
  <si>
    <t>April 18 - December 17 2021</t>
  </si>
  <si>
    <r>
      <t>•</t>
    </r>
    <r>
      <rPr>
        <b/>
        <sz val="16"/>
        <color rgb="FF000000"/>
        <rFont val="Calibri"/>
        <family val="2"/>
        <scheme val="minor"/>
      </rPr>
      <t>Must book DEMA Special by December 31, 2020</t>
    </r>
  </si>
  <si>
    <t>For Travel  Jan 4 - Apr 18, 2021</t>
  </si>
  <si>
    <t xml:space="preserve">DEMA New Orleans Special </t>
  </si>
  <si>
    <t>For Travel Apr 18 – Sep 12, Oct 10-17, Nov 7-30, 2021</t>
  </si>
  <si>
    <t>DEMA New Orleans Special</t>
  </si>
  <si>
    <r>
      <t>•</t>
    </r>
    <r>
      <rPr>
        <b/>
        <sz val="16"/>
        <color rgb="FF000000"/>
        <rFont val="Calibri"/>
        <family val="2"/>
        <scheme val="minor"/>
      </rPr>
      <t>Must book DEMA Special by December 31, 2021</t>
    </r>
  </si>
  <si>
    <t xml:space="preserve">For Travel Sept 12 - Oct 10, Oct 17-Nov 6, Dec 1-19, 2021 </t>
  </si>
  <si>
    <t xml:space="preserve">*Please check with our Sales &amp; Reservation team for commission rates on rooms, dive &amp; meals. </t>
  </si>
  <si>
    <t>not included in the free spots and are chargeable</t>
  </si>
  <si>
    <t xml:space="preserve">Please note that the whole group must choose the meal plans.  Individual meal plans are not available. As the restaurant is operated seperatly from the hotel, the meals are </t>
  </si>
  <si>
    <t>***Dinner -  daily 3 course set menu served in SeaHarvest</t>
  </si>
  <si>
    <t>**Lunch - choice from My Bar snack menu</t>
  </si>
  <si>
    <t>Meal Plans</t>
  </si>
  <si>
    <t>All prices are in US$ and are per person</t>
  </si>
  <si>
    <t>Y</t>
  </si>
  <si>
    <t>3-tank safari (upgrade one of your 2-tank trip)</t>
  </si>
  <si>
    <t>Unlimited Nitrox entire stay</t>
  </si>
  <si>
    <t>Extra 2 tank boat</t>
  </si>
  <si>
    <t>Night dive (from shore or 6+ from boat)</t>
  </si>
  <si>
    <t>Stingray City - 1-tank PM</t>
  </si>
  <si>
    <t>Kittiwake - 1-tank PM</t>
  </si>
  <si>
    <t>Dinner***</t>
  </si>
  <si>
    <t>Lunch**</t>
  </si>
  <si>
    <t>Duration</t>
  </si>
  <si>
    <t>Min PAX</t>
  </si>
  <si>
    <t>*Commisionable</t>
  </si>
  <si>
    <t>All Levels</t>
  </si>
  <si>
    <t>Food</t>
  </si>
  <si>
    <t>Pick &amp; Mix Menu for additional dives, food or excursions</t>
  </si>
  <si>
    <t>Only one group per week is eligible for the PRE-DEMA incentives</t>
  </si>
  <si>
    <t>2 x afternoon 1 tank boat trips</t>
  </si>
  <si>
    <t>Extra 2 tank morning boat trip</t>
  </si>
  <si>
    <t>Free unlimited Nitrox</t>
  </si>
  <si>
    <t>Choose 1 from the following</t>
  </si>
  <si>
    <t>FREE KW &amp; SRC as a 2nd dive with 16+ divers</t>
  </si>
  <si>
    <t>Incentives all groups</t>
  </si>
  <si>
    <t>PRE-DEMA - book before DEMA 2020 New Orleans Show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</si>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</sst>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\ #,##0.00;[Red]&quot;$&quot;\ #,##0.00"/>
  </numFmts>
  <fonts count="4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rgb="FF00B050"/>
      <name val="Arial"/>
      <family val="2"/>
    </font>
    <font>
      <b/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2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name val="Arial"/>
      <family val="2"/>
    </font>
    <font>
      <b/>
      <sz val="18"/>
      <name val="Arial"/>
      <family val="2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0"/>
      <name val="Arial"/>
      <family val="2"/>
    </font>
    <font>
      <b/>
      <sz val="26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5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53">
    <xf numFmtId="0" fontId="0" fillId="0" borderId="0"/>
    <xf numFmtId="0" fontId="8" fillId="0" borderId="0"/>
    <xf numFmtId="44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619">
    <xf numFmtId="0" fontId="0" fillId="0" borderId="0" xfId="0"/>
    <xf numFmtId="0" fontId="10" fillId="2" borderId="7" xfId="0" applyFont="1" applyFill="1" applyBorder="1" applyAlignment="1" applyProtection="1">
      <alignment horizontal="center" vertical="center"/>
      <protection locked="0"/>
    </xf>
    <xf numFmtId="0" fontId="9" fillId="4" borderId="0" xfId="1" applyFont="1" applyFill="1"/>
    <xf numFmtId="0" fontId="8" fillId="4" borderId="0" xfId="1" applyFill="1"/>
    <xf numFmtId="0" fontId="9" fillId="2" borderId="8" xfId="1" applyFont="1" applyFill="1" applyBorder="1" applyAlignment="1">
      <alignment horizontal="center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/>
    <xf numFmtId="0" fontId="8" fillId="0" borderId="0" xfId="1" applyProtection="1">
      <protection hidden="1"/>
    </xf>
    <xf numFmtId="0" fontId="8" fillId="0" borderId="0" xfId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3" fillId="5" borderId="11" xfId="0" applyFont="1" applyFill="1" applyBorder="1" applyAlignment="1" applyProtection="1">
      <alignment horizontal="center"/>
      <protection hidden="1"/>
    </xf>
    <xf numFmtId="0" fontId="0" fillId="5" borderId="10" xfId="0" applyFill="1" applyBorder="1" applyAlignment="1" applyProtection="1">
      <alignment horizontal="center"/>
      <protection hidden="1"/>
    </xf>
    <xf numFmtId="0" fontId="4" fillId="6" borderId="12" xfId="0" applyFont="1" applyFill="1" applyBorder="1" applyAlignment="1" applyProtection="1">
      <alignment horizontal="center"/>
      <protection hidden="1"/>
    </xf>
    <xf numFmtId="0" fontId="4" fillId="6" borderId="7" xfId="0" applyFont="1" applyFill="1" applyBorder="1" applyAlignment="1" applyProtection="1">
      <alignment horizontal="center"/>
      <protection hidden="1"/>
    </xf>
    <xf numFmtId="0" fontId="15" fillId="0" borderId="0" xfId="1" applyFont="1" applyProtection="1">
      <protection hidden="1"/>
    </xf>
    <xf numFmtId="0" fontId="8" fillId="5" borderId="0" xfId="1" applyFill="1" applyProtection="1">
      <protection hidden="1"/>
    </xf>
    <xf numFmtId="44" fontId="16" fillId="5" borderId="0" xfId="2" applyFont="1" applyFill="1" applyAlignment="1" applyProtection="1">
      <alignment horizontal="left"/>
      <protection hidden="1"/>
    </xf>
    <xf numFmtId="44" fontId="16" fillId="5" borderId="0" xfId="2" applyFont="1" applyFill="1" applyAlignment="1" applyProtection="1">
      <alignment horizontal="right"/>
      <protection hidden="1"/>
    </xf>
    <xf numFmtId="44" fontId="16" fillId="5" borderId="0" xfId="2" applyFont="1" applyFill="1" applyProtection="1">
      <protection hidden="1"/>
    </xf>
    <xf numFmtId="0" fontId="3" fillId="5" borderId="10" xfId="0" applyFont="1" applyFill="1" applyBorder="1" applyAlignment="1" applyProtection="1">
      <alignment horizontal="center"/>
      <protection hidden="1"/>
    </xf>
    <xf numFmtId="0" fontId="1" fillId="6" borderId="13" xfId="0" applyFont="1" applyFill="1" applyBorder="1" applyAlignment="1" applyProtection="1">
      <alignment horizontal="center"/>
      <protection hidden="1"/>
    </xf>
    <xf numFmtId="0" fontId="1" fillId="6" borderId="10" xfId="0" applyFont="1" applyFill="1" applyBorder="1" applyAlignment="1" applyProtection="1">
      <alignment horizontal="center"/>
      <protection hidden="1"/>
    </xf>
    <xf numFmtId="0" fontId="4" fillId="6" borderId="13" xfId="0" applyFont="1" applyFill="1" applyBorder="1" applyAlignment="1" applyProtection="1">
      <alignment horizontal="center"/>
      <protection hidden="1"/>
    </xf>
    <xf numFmtId="0" fontId="8" fillId="7" borderId="0" xfId="1" applyFill="1" applyProtection="1">
      <protection hidden="1"/>
    </xf>
    <xf numFmtId="44" fontId="16" fillId="7" borderId="0" xfId="2" applyFont="1" applyFill="1" applyAlignment="1" applyProtection="1">
      <alignment horizontal="left"/>
      <protection hidden="1"/>
    </xf>
    <xf numFmtId="44" fontId="16" fillId="7" borderId="0" xfId="2" applyFont="1" applyFill="1" applyAlignment="1" applyProtection="1">
      <alignment horizontal="right"/>
      <protection hidden="1"/>
    </xf>
    <xf numFmtId="44" fontId="16" fillId="7" borderId="0" xfId="2" applyFont="1" applyFill="1" applyProtection="1">
      <protection hidden="1"/>
    </xf>
    <xf numFmtId="0" fontId="3" fillId="8" borderId="14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44" fontId="0" fillId="5" borderId="11" xfId="0" applyNumberFormat="1" applyFill="1" applyBorder="1" applyProtection="1">
      <protection hidden="1"/>
    </xf>
    <xf numFmtId="44" fontId="0" fillId="5" borderId="10" xfId="0" applyNumberFormat="1" applyFill="1" applyBorder="1" applyProtection="1">
      <protection hidden="1"/>
    </xf>
    <xf numFmtId="44" fontId="4" fillId="6" borderId="13" xfId="0" applyNumberFormat="1" applyFont="1" applyFill="1" applyBorder="1" applyProtection="1">
      <protection hidden="1"/>
    </xf>
    <xf numFmtId="44" fontId="4" fillId="6" borderId="10" xfId="0" applyNumberFormat="1" applyFont="1" applyFill="1" applyBorder="1" applyProtection="1">
      <protection hidden="1"/>
    </xf>
    <xf numFmtId="0" fontId="8" fillId="9" borderId="0" xfId="1" applyFill="1" applyProtection="1">
      <protection hidden="1"/>
    </xf>
    <xf numFmtId="44" fontId="16" fillId="9" borderId="0" xfId="2" applyFont="1" applyFill="1" applyAlignment="1" applyProtection="1">
      <alignment horizontal="left"/>
      <protection hidden="1"/>
    </xf>
    <xf numFmtId="44" fontId="16" fillId="9" borderId="0" xfId="2" applyFont="1" applyFill="1" applyAlignment="1" applyProtection="1">
      <alignment horizontal="right"/>
      <protection hidden="1"/>
    </xf>
    <xf numFmtId="44" fontId="16" fillId="9" borderId="0" xfId="2" applyFont="1" applyFill="1" applyProtection="1">
      <protection hidden="1"/>
    </xf>
    <xf numFmtId="0" fontId="0" fillId="5" borderId="11" xfId="0" applyFill="1" applyBorder="1" applyProtection="1">
      <protection hidden="1"/>
    </xf>
    <xf numFmtId="0" fontId="0" fillId="5" borderId="10" xfId="0" applyFill="1" applyBorder="1" applyProtection="1">
      <protection hidden="1"/>
    </xf>
    <xf numFmtId="0" fontId="4" fillId="6" borderId="13" xfId="0" applyFont="1" applyFill="1" applyBorder="1" applyProtection="1">
      <protection hidden="1"/>
    </xf>
    <xf numFmtId="0" fontId="4" fillId="6" borderId="10" xfId="0" applyFont="1" applyFill="1" applyBorder="1" applyProtection="1">
      <protection hidden="1"/>
    </xf>
    <xf numFmtId="0" fontId="8" fillId="10" borderId="0" xfId="1" applyFill="1" applyProtection="1">
      <protection hidden="1"/>
    </xf>
    <xf numFmtId="44" fontId="16" fillId="10" borderId="0" xfId="2" applyFont="1" applyFill="1" applyAlignment="1" applyProtection="1">
      <alignment horizontal="left"/>
      <protection hidden="1"/>
    </xf>
    <xf numFmtId="44" fontId="16" fillId="10" borderId="0" xfId="2" applyFont="1" applyFill="1" applyAlignment="1" applyProtection="1">
      <alignment horizontal="right"/>
      <protection hidden="1"/>
    </xf>
    <xf numFmtId="44" fontId="16" fillId="10" borderId="0" xfId="2" applyFont="1" applyFill="1" applyProtection="1">
      <protection hidden="1"/>
    </xf>
    <xf numFmtId="0" fontId="1" fillId="6" borderId="13" xfId="0" applyFont="1" applyFill="1" applyBorder="1" applyProtection="1">
      <protection hidden="1"/>
    </xf>
    <xf numFmtId="0" fontId="1" fillId="6" borderId="10" xfId="0" applyFont="1" applyFill="1" applyBorder="1" applyProtection="1">
      <protection hidden="1"/>
    </xf>
    <xf numFmtId="0" fontId="8" fillId="11" borderId="15" xfId="1" applyFill="1" applyBorder="1" applyProtection="1">
      <protection hidden="1"/>
    </xf>
    <xf numFmtId="0" fontId="8" fillId="11" borderId="16" xfId="1" applyFill="1" applyBorder="1" applyProtection="1">
      <protection hidden="1"/>
    </xf>
    <xf numFmtId="0" fontId="8" fillId="0" borderId="16" xfId="1" applyBorder="1" applyProtection="1">
      <protection hidden="1"/>
    </xf>
    <xf numFmtId="0" fontId="18" fillId="0" borderId="0" xfId="1" applyFont="1" applyProtection="1">
      <protection hidden="1"/>
    </xf>
    <xf numFmtId="164" fontId="0" fillId="5" borderId="10" xfId="0" applyNumberFormat="1" applyFill="1" applyBorder="1" applyProtection="1">
      <protection hidden="1"/>
    </xf>
    <xf numFmtId="0" fontId="8" fillId="4" borderId="0" xfId="1" applyFill="1" applyProtection="1">
      <protection hidden="1"/>
    </xf>
    <xf numFmtId="44" fontId="0" fillId="5" borderId="17" xfId="0" applyNumberFormat="1" applyFill="1" applyBorder="1" applyProtection="1">
      <protection hidden="1"/>
    </xf>
    <xf numFmtId="44" fontId="0" fillId="5" borderId="9" xfId="0" applyNumberFormat="1" applyFill="1" applyBorder="1" applyProtection="1">
      <protection hidden="1"/>
    </xf>
    <xf numFmtId="44" fontId="4" fillId="6" borderId="9" xfId="0" applyNumberFormat="1" applyFont="1" applyFill="1" applyBorder="1" applyProtection="1">
      <protection hidden="1"/>
    </xf>
    <xf numFmtId="0" fontId="12" fillId="0" borderId="20" xfId="0" applyFont="1" applyBorder="1" applyAlignment="1" applyProtection="1">
      <alignment horizontal="right"/>
      <protection hidden="1"/>
    </xf>
    <xf numFmtId="0" fontId="19" fillId="0" borderId="21" xfId="0" applyFont="1" applyBorder="1" applyAlignment="1" applyProtection="1">
      <alignment horizontal="right"/>
      <protection hidden="1"/>
    </xf>
    <xf numFmtId="44" fontId="2" fillId="5" borderId="23" xfId="0" applyNumberFormat="1" applyFont="1" applyFill="1" applyBorder="1" applyProtection="1">
      <protection hidden="1"/>
    </xf>
    <xf numFmtId="44" fontId="4" fillId="6" borderId="22" xfId="0" applyNumberFormat="1" applyFont="1" applyFill="1" applyBorder="1" applyProtection="1">
      <protection hidden="1"/>
    </xf>
    <xf numFmtId="44" fontId="4" fillId="6" borderId="23" xfId="0" applyNumberFormat="1" applyFont="1" applyFill="1" applyBorder="1" applyProtection="1">
      <protection hidden="1"/>
    </xf>
    <xf numFmtId="44" fontId="4" fillId="6" borderId="24" xfId="0" applyNumberFormat="1" applyFont="1" applyFill="1" applyBorder="1" applyProtection="1">
      <protection hidden="1"/>
    </xf>
    <xf numFmtId="44" fontId="0" fillId="5" borderId="25" xfId="0" applyNumberFormat="1" applyFill="1" applyBorder="1" applyProtection="1">
      <protection hidden="1"/>
    </xf>
    <xf numFmtId="44" fontId="4" fillId="6" borderId="8" xfId="0" applyNumberFormat="1" applyFont="1" applyFill="1" applyBorder="1" applyProtection="1">
      <protection hidden="1"/>
    </xf>
    <xf numFmtId="44" fontId="4" fillId="6" borderId="5" xfId="0" applyNumberFormat="1" applyFont="1" applyFill="1" applyBorder="1" applyProtection="1">
      <protection hidden="1"/>
    </xf>
    <xf numFmtId="44" fontId="4" fillId="6" borderId="26" xfId="0" applyNumberFormat="1" applyFont="1" applyFill="1" applyBorder="1" applyProtection="1">
      <protection hidden="1"/>
    </xf>
    <xf numFmtId="0" fontId="0" fillId="0" borderId="27" xfId="0" applyBorder="1"/>
    <xf numFmtId="0" fontId="8" fillId="0" borderId="0" xfId="1" applyAlignment="1" applyProtection="1">
      <alignment horizontal="right"/>
      <protection hidden="1"/>
    </xf>
    <xf numFmtId="0" fontId="3" fillId="9" borderId="11" xfId="0" applyFont="1" applyFill="1" applyBorder="1" applyAlignment="1" applyProtection="1">
      <alignment horizontal="center"/>
      <protection hidden="1"/>
    </xf>
    <xf numFmtId="0" fontId="0" fillId="9" borderId="10" xfId="0" applyFill="1" applyBorder="1" applyAlignment="1" applyProtection="1">
      <alignment horizontal="center"/>
      <protection hidden="1"/>
    </xf>
    <xf numFmtId="0" fontId="4" fillId="14" borderId="28" xfId="0" applyFont="1" applyFill="1" applyBorder="1" applyAlignment="1" applyProtection="1">
      <alignment horizontal="center"/>
      <protection hidden="1"/>
    </xf>
    <xf numFmtId="0" fontId="4" fillId="14" borderId="7" xfId="0" applyFont="1" applyFill="1" applyBorder="1" applyAlignment="1" applyProtection="1">
      <alignment horizontal="center"/>
      <protection hidden="1"/>
    </xf>
    <xf numFmtId="0" fontId="3" fillId="15" borderId="12" xfId="0" applyFont="1" applyFill="1" applyBorder="1" applyAlignment="1" applyProtection="1">
      <alignment horizontal="center"/>
      <protection hidden="1"/>
    </xf>
    <xf numFmtId="0" fontId="0" fillId="15" borderId="7" xfId="0" applyFill="1" applyBorder="1" applyAlignment="1" applyProtection="1">
      <alignment horizontal="center"/>
      <protection hidden="1"/>
    </xf>
    <xf numFmtId="0" fontId="0" fillId="15" borderId="12" xfId="0" applyFill="1" applyBorder="1" applyAlignment="1" applyProtection="1">
      <alignment horizontal="center"/>
      <protection hidden="1"/>
    </xf>
    <xf numFmtId="0" fontId="4" fillId="16" borderId="28" xfId="0" applyFont="1" applyFill="1" applyBorder="1" applyAlignment="1" applyProtection="1">
      <alignment horizontal="center"/>
      <protection hidden="1"/>
    </xf>
    <xf numFmtId="0" fontId="4" fillId="16" borderId="7" xfId="0" applyFont="1" applyFill="1" applyBorder="1" applyAlignment="1" applyProtection="1">
      <alignment horizontal="center"/>
      <protection hidden="1"/>
    </xf>
    <xf numFmtId="0" fontId="4" fillId="16" borderId="12" xfId="0" applyFont="1" applyFill="1" applyBorder="1" applyProtection="1">
      <protection hidden="1"/>
    </xf>
    <xf numFmtId="0" fontId="3" fillId="9" borderId="10" xfId="0" applyFont="1" applyFill="1" applyBorder="1" applyAlignment="1" applyProtection="1">
      <alignment horizontal="center"/>
      <protection hidden="1"/>
    </xf>
    <xf numFmtId="0" fontId="1" fillId="14" borderId="11" xfId="0" applyFont="1" applyFill="1" applyBorder="1" applyAlignment="1" applyProtection="1">
      <alignment horizontal="center"/>
      <protection hidden="1"/>
    </xf>
    <xf numFmtId="0" fontId="1" fillId="14" borderId="10" xfId="0" applyFont="1" applyFill="1" applyBorder="1" applyAlignment="1" applyProtection="1">
      <alignment horizontal="center"/>
      <protection hidden="1"/>
    </xf>
    <xf numFmtId="44" fontId="8" fillId="0" borderId="0" xfId="2" applyAlignment="1" applyProtection="1">
      <alignment horizontal="right"/>
      <protection hidden="1"/>
    </xf>
    <xf numFmtId="0" fontId="3" fillId="15" borderId="13" xfId="0" applyFont="1" applyFill="1" applyBorder="1" applyAlignment="1" applyProtection="1">
      <alignment horizontal="center"/>
      <protection hidden="1"/>
    </xf>
    <xf numFmtId="0" fontId="3" fillId="15" borderId="10" xfId="0" applyFont="1" applyFill="1" applyBorder="1" applyAlignment="1" applyProtection="1">
      <alignment horizontal="center"/>
      <protection hidden="1"/>
    </xf>
    <xf numFmtId="0" fontId="1" fillId="16" borderId="11" xfId="0" applyFont="1" applyFill="1" applyBorder="1" applyAlignment="1" applyProtection="1">
      <alignment horizontal="center"/>
      <protection hidden="1"/>
    </xf>
    <xf numFmtId="0" fontId="1" fillId="16" borderId="10" xfId="0" applyFont="1" applyFill="1" applyBorder="1" applyAlignment="1" applyProtection="1">
      <alignment horizontal="center"/>
      <protection hidden="1"/>
    </xf>
    <xf numFmtId="0" fontId="4" fillId="16" borderId="13" xfId="0" applyFont="1" applyFill="1" applyBorder="1" applyProtection="1">
      <protection hidden="1"/>
    </xf>
    <xf numFmtId="44" fontId="0" fillId="9" borderId="11" xfId="0" applyNumberFormat="1" applyFill="1" applyBorder="1" applyAlignment="1" applyProtection="1">
      <alignment horizontal="center"/>
      <protection hidden="1"/>
    </xf>
    <xf numFmtId="44" fontId="0" fillId="9" borderId="10" xfId="0" applyNumberFormat="1" applyFill="1" applyBorder="1" applyProtection="1">
      <protection hidden="1"/>
    </xf>
    <xf numFmtId="44" fontId="4" fillId="14" borderId="11" xfId="0" applyNumberFormat="1" applyFont="1" applyFill="1" applyBorder="1" applyProtection="1">
      <protection hidden="1"/>
    </xf>
    <xf numFmtId="44" fontId="4" fillId="14" borderId="10" xfId="0" applyNumberFormat="1" applyFont="1" applyFill="1" applyBorder="1" applyProtection="1">
      <protection hidden="1"/>
    </xf>
    <xf numFmtId="44" fontId="0" fillId="15" borderId="13" xfId="0" applyNumberFormat="1" applyFill="1" applyBorder="1" applyProtection="1">
      <protection hidden="1"/>
    </xf>
    <xf numFmtId="44" fontId="0" fillId="15" borderId="10" xfId="0" applyNumberFormat="1" applyFill="1" applyBorder="1" applyProtection="1">
      <protection hidden="1"/>
    </xf>
    <xf numFmtId="44" fontId="4" fillId="16" borderId="11" xfId="0" applyNumberFormat="1" applyFont="1" applyFill="1" applyBorder="1" applyProtection="1">
      <protection hidden="1"/>
    </xf>
    <xf numFmtId="44" fontId="4" fillId="16" borderId="10" xfId="0" applyNumberFormat="1" applyFont="1" applyFill="1" applyBorder="1" applyProtection="1">
      <protection hidden="1"/>
    </xf>
    <xf numFmtId="44" fontId="4" fillId="16" borderId="13" xfId="0" applyNumberFormat="1" applyFont="1" applyFill="1" applyBorder="1" applyProtection="1">
      <protection hidden="1"/>
    </xf>
    <xf numFmtId="44" fontId="4" fillId="16" borderId="0" xfId="0" applyNumberFormat="1" applyFont="1" applyFill="1" applyProtection="1">
      <protection hidden="1"/>
    </xf>
    <xf numFmtId="0" fontId="0" fillId="9" borderId="11" xfId="0" applyFill="1" applyBorder="1" applyAlignment="1" applyProtection="1">
      <alignment horizontal="center"/>
      <protection hidden="1"/>
    </xf>
    <xf numFmtId="0" fontId="0" fillId="9" borderId="10" xfId="0" applyFill="1" applyBorder="1" applyProtection="1">
      <protection hidden="1"/>
    </xf>
    <xf numFmtId="0" fontId="4" fillId="14" borderId="11" xfId="0" applyFont="1" applyFill="1" applyBorder="1" applyProtection="1">
      <protection hidden="1"/>
    </xf>
    <xf numFmtId="0" fontId="4" fillId="14" borderId="10" xfId="0" applyFont="1" applyFill="1" applyBorder="1" applyProtection="1">
      <protection hidden="1"/>
    </xf>
    <xf numFmtId="0" fontId="0" fillId="15" borderId="13" xfId="0" applyFill="1" applyBorder="1" applyProtection="1">
      <protection hidden="1"/>
    </xf>
    <xf numFmtId="0" fontId="0" fillId="15" borderId="10" xfId="0" applyFill="1" applyBorder="1" applyProtection="1">
      <protection hidden="1"/>
    </xf>
    <xf numFmtId="0" fontId="4" fillId="16" borderId="11" xfId="0" applyFont="1" applyFill="1" applyBorder="1" applyProtection="1">
      <protection hidden="1"/>
    </xf>
    <xf numFmtId="0" fontId="4" fillId="16" borderId="10" xfId="0" applyFont="1" applyFill="1" applyBorder="1" applyProtection="1">
      <protection hidden="1"/>
    </xf>
    <xf numFmtId="0" fontId="1" fillId="14" borderId="11" xfId="0" applyFont="1" applyFill="1" applyBorder="1" applyProtection="1">
      <protection hidden="1"/>
    </xf>
    <xf numFmtId="0" fontId="1" fillId="14" borderId="10" xfId="0" applyFont="1" applyFill="1" applyBorder="1" applyProtection="1">
      <protection hidden="1"/>
    </xf>
    <xf numFmtId="0" fontId="3" fillId="15" borderId="13" xfId="0" applyFont="1" applyFill="1" applyBorder="1" applyProtection="1">
      <protection hidden="1"/>
    </xf>
    <xf numFmtId="0" fontId="3" fillId="15" borderId="10" xfId="0" applyFont="1" applyFill="1" applyBorder="1" applyProtection="1">
      <protection hidden="1"/>
    </xf>
    <xf numFmtId="0" fontId="1" fillId="16" borderId="11" xfId="0" applyFont="1" applyFill="1" applyBorder="1" applyProtection="1">
      <protection hidden="1"/>
    </xf>
    <xf numFmtId="0" fontId="1" fillId="16" borderId="10" xfId="0" applyFont="1" applyFill="1" applyBorder="1" applyProtection="1">
      <protection hidden="1"/>
    </xf>
    <xf numFmtId="164" fontId="0" fillId="9" borderId="10" xfId="0" applyNumberFormat="1" applyFill="1" applyBorder="1" applyProtection="1">
      <protection hidden="1"/>
    </xf>
    <xf numFmtId="164" fontId="0" fillId="15" borderId="10" xfId="0" applyNumberFormat="1" applyFill="1" applyBorder="1" applyProtection="1">
      <protection hidden="1"/>
    </xf>
    <xf numFmtId="164" fontId="0" fillId="15" borderId="13" xfId="0" applyNumberFormat="1" applyFill="1" applyBorder="1" applyProtection="1">
      <protection hidden="1"/>
    </xf>
    <xf numFmtId="164" fontId="4" fillId="16" borderId="13" xfId="0" applyNumberFormat="1" applyFont="1" applyFill="1" applyBorder="1" applyProtection="1">
      <protection hidden="1"/>
    </xf>
    <xf numFmtId="164" fontId="4" fillId="16" borderId="0" xfId="0" applyNumberFormat="1" applyFont="1" applyFill="1" applyProtection="1">
      <protection hidden="1"/>
    </xf>
    <xf numFmtId="44" fontId="4" fillId="16" borderId="11" xfId="0" applyNumberFormat="1" applyFont="1" applyFill="1" applyBorder="1" applyAlignment="1" applyProtection="1">
      <alignment horizontal="left"/>
      <protection hidden="1"/>
    </xf>
    <xf numFmtId="44" fontId="0" fillId="9" borderId="29" xfId="0" applyNumberFormat="1" applyFill="1" applyBorder="1" applyAlignment="1" applyProtection="1">
      <alignment horizontal="center"/>
      <protection hidden="1"/>
    </xf>
    <xf numFmtId="44" fontId="4" fillId="14" borderId="29" xfId="0" applyNumberFormat="1" applyFont="1" applyFill="1" applyBorder="1" applyAlignment="1" applyProtection="1">
      <alignment horizontal="center"/>
      <protection hidden="1"/>
    </xf>
    <xf numFmtId="44" fontId="0" fillId="15" borderId="31" xfId="0" applyNumberFormat="1" applyFill="1" applyBorder="1" applyProtection="1">
      <protection hidden="1"/>
    </xf>
    <xf numFmtId="0" fontId="3" fillId="0" borderId="34" xfId="0" applyFont="1" applyBorder="1" applyAlignment="1" applyProtection="1">
      <alignment horizontal="right"/>
      <protection hidden="1"/>
    </xf>
    <xf numFmtId="44" fontId="10" fillId="15" borderId="22" xfId="0" applyNumberFormat="1" applyFont="1" applyFill="1" applyBorder="1" applyProtection="1">
      <protection hidden="1"/>
    </xf>
    <xf numFmtId="44" fontId="10" fillId="15" borderId="23" xfId="0" applyNumberFormat="1" applyFont="1" applyFill="1" applyBorder="1" applyProtection="1">
      <protection hidden="1"/>
    </xf>
    <xf numFmtId="44" fontId="10" fillId="15" borderId="35" xfId="0" applyNumberFormat="1" applyFont="1" applyFill="1" applyBorder="1" applyProtection="1">
      <protection hidden="1"/>
    </xf>
    <xf numFmtId="0" fontId="19" fillId="0" borderId="0" xfId="0" applyFont="1" applyAlignment="1" applyProtection="1">
      <alignment horizontal="right"/>
      <protection hidden="1"/>
    </xf>
    <xf numFmtId="44" fontId="2" fillId="9" borderId="36" xfId="0" applyNumberFormat="1" applyFont="1" applyFill="1" applyBorder="1" applyAlignment="1" applyProtection="1">
      <alignment horizontal="center"/>
      <protection hidden="1"/>
    </xf>
    <xf numFmtId="44" fontId="0" fillId="15" borderId="8" xfId="0" applyNumberFormat="1" applyFill="1" applyBorder="1" applyProtection="1">
      <protection hidden="1"/>
    </xf>
    <xf numFmtId="44" fontId="0" fillId="15" borderId="9" xfId="0" applyNumberFormat="1" applyFill="1" applyBorder="1" applyProtection="1">
      <protection hidden="1"/>
    </xf>
    <xf numFmtId="0" fontId="0" fillId="0" borderId="37" xfId="0" applyBorder="1" applyProtection="1">
      <protection hidden="1"/>
    </xf>
    <xf numFmtId="0" fontId="3" fillId="0" borderId="37" xfId="0" applyFont="1" applyBorder="1" applyAlignment="1" applyProtection="1">
      <alignment horizontal="center"/>
      <protection hidden="1"/>
    </xf>
    <xf numFmtId="0" fontId="3" fillId="10" borderId="12" xfId="0" applyFont="1" applyFill="1" applyBorder="1" applyAlignment="1" applyProtection="1">
      <alignment horizontal="center"/>
      <protection hidden="1"/>
    </xf>
    <xf numFmtId="0" fontId="0" fillId="10" borderId="10" xfId="0" applyFill="1" applyBorder="1" applyAlignment="1" applyProtection="1">
      <alignment horizontal="center"/>
      <protection hidden="1"/>
    </xf>
    <xf numFmtId="0" fontId="1" fillId="18" borderId="12" xfId="0" applyFont="1" applyFill="1" applyBorder="1" applyAlignment="1" applyProtection="1">
      <alignment horizontal="center"/>
      <protection hidden="1"/>
    </xf>
    <xf numFmtId="0" fontId="4" fillId="18" borderId="7" xfId="0" applyFont="1" applyFill="1" applyBorder="1" applyAlignment="1" applyProtection="1">
      <alignment horizontal="center"/>
      <protection hidden="1"/>
    </xf>
    <xf numFmtId="44" fontId="3" fillId="0" borderId="37" xfId="0" applyNumberFormat="1" applyFont="1" applyBorder="1" applyProtection="1">
      <protection hidden="1"/>
    </xf>
    <xf numFmtId="0" fontId="3" fillId="10" borderId="13" xfId="0" applyFont="1" applyFill="1" applyBorder="1" applyAlignment="1" applyProtection="1">
      <alignment horizontal="center"/>
      <protection hidden="1"/>
    </xf>
    <xf numFmtId="0" fontId="3" fillId="10" borderId="10" xfId="0" applyFont="1" applyFill="1" applyBorder="1" applyAlignment="1" applyProtection="1">
      <alignment horizontal="center"/>
      <protection hidden="1"/>
    </xf>
    <xf numFmtId="0" fontId="1" fillId="18" borderId="13" xfId="0" applyFont="1" applyFill="1" applyBorder="1" applyAlignment="1" applyProtection="1">
      <alignment horizontal="center"/>
      <protection hidden="1"/>
    </xf>
    <xf numFmtId="0" fontId="1" fillId="18" borderId="10" xfId="0" applyFont="1" applyFill="1" applyBorder="1" applyAlignment="1" applyProtection="1">
      <alignment horizontal="center"/>
      <protection hidden="1"/>
    </xf>
    <xf numFmtId="0" fontId="3" fillId="0" borderId="37" xfId="0" applyFont="1" applyBorder="1" applyAlignment="1" applyProtection="1">
      <alignment horizontal="right"/>
      <protection hidden="1"/>
    </xf>
    <xf numFmtId="44" fontId="0" fillId="10" borderId="13" xfId="0" applyNumberFormat="1" applyFill="1" applyBorder="1" applyProtection="1">
      <protection hidden="1"/>
    </xf>
    <xf numFmtId="44" fontId="0" fillId="10" borderId="10" xfId="0" applyNumberFormat="1" applyFill="1" applyBorder="1" applyProtection="1">
      <protection hidden="1"/>
    </xf>
    <xf numFmtId="44" fontId="4" fillId="18" borderId="13" xfId="0" applyNumberFormat="1" applyFont="1" applyFill="1" applyBorder="1" applyProtection="1">
      <protection hidden="1"/>
    </xf>
    <xf numFmtId="44" fontId="4" fillId="18" borderId="10" xfId="0" applyNumberFormat="1" applyFont="1" applyFill="1" applyBorder="1" applyProtection="1">
      <protection hidden="1"/>
    </xf>
    <xf numFmtId="0" fontId="0" fillId="10" borderId="13" xfId="0" applyFill="1" applyBorder="1" applyProtection="1">
      <protection hidden="1"/>
    </xf>
    <xf numFmtId="0" fontId="0" fillId="10" borderId="10" xfId="0" applyFill="1" applyBorder="1" applyProtection="1">
      <protection hidden="1"/>
    </xf>
    <xf numFmtId="0" fontId="4" fillId="18" borderId="13" xfId="0" applyFont="1" applyFill="1" applyBorder="1" applyProtection="1">
      <protection hidden="1"/>
    </xf>
    <xf numFmtId="0" fontId="4" fillId="18" borderId="10" xfId="0" applyFont="1" applyFill="1" applyBorder="1" applyProtection="1">
      <protection hidden="1"/>
    </xf>
    <xf numFmtId="0" fontId="3" fillId="10" borderId="10" xfId="0" applyFont="1" applyFill="1" applyBorder="1" applyProtection="1">
      <protection hidden="1"/>
    </xf>
    <xf numFmtId="0" fontId="1" fillId="18" borderId="10" xfId="0" applyFont="1" applyFill="1" applyBorder="1" applyProtection="1">
      <protection hidden="1"/>
    </xf>
    <xf numFmtId="164" fontId="0" fillId="10" borderId="10" xfId="0" applyNumberFormat="1" applyFill="1" applyBorder="1" applyProtection="1">
      <protection hidden="1"/>
    </xf>
    <xf numFmtId="164" fontId="4" fillId="18" borderId="10" xfId="0" applyNumberFormat="1" applyFont="1" applyFill="1" applyBorder="1" applyProtection="1">
      <protection hidden="1"/>
    </xf>
    <xf numFmtId="44" fontId="0" fillId="10" borderId="31" xfId="0" applyNumberFormat="1" applyFill="1" applyBorder="1" applyProtection="1">
      <protection hidden="1"/>
    </xf>
    <xf numFmtId="44" fontId="4" fillId="18" borderId="31" xfId="0" applyNumberFormat="1" applyFont="1" applyFill="1" applyBorder="1" applyProtection="1">
      <protection hidden="1"/>
    </xf>
    <xf numFmtId="0" fontId="9" fillId="2" borderId="6" xfId="1" applyFont="1" applyFill="1" applyBorder="1" applyAlignment="1">
      <alignment horizontal="right"/>
    </xf>
    <xf numFmtId="0" fontId="9" fillId="2" borderId="8" xfId="1" applyFont="1" applyFill="1" applyBorder="1" applyAlignment="1">
      <alignment horizontal="right"/>
    </xf>
    <xf numFmtId="0" fontId="4" fillId="6" borderId="10" xfId="0" applyFont="1" applyFill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right"/>
      <protection hidden="1"/>
    </xf>
    <xf numFmtId="44" fontId="16" fillId="2" borderId="0" xfId="1" applyNumberFormat="1" applyFont="1" applyFill="1" applyProtection="1">
      <protection hidden="1"/>
    </xf>
    <xf numFmtId="0" fontId="0" fillId="19" borderId="0" xfId="0" applyFill="1"/>
    <xf numFmtId="0" fontId="3" fillId="19" borderId="0" xfId="0" applyFont="1" applyFill="1"/>
    <xf numFmtId="0" fontId="7" fillId="19" borderId="0" xfId="0" applyFont="1" applyFill="1" applyAlignment="1">
      <alignment horizontal="left"/>
    </xf>
    <xf numFmtId="0" fontId="6" fillId="19" borderId="0" xfId="0" applyFont="1" applyFill="1" applyAlignment="1">
      <alignment horizontal="left" vertical="center"/>
    </xf>
    <xf numFmtId="0" fontId="3" fillId="19" borderId="5" xfId="0" applyFont="1" applyFill="1" applyBorder="1"/>
    <xf numFmtId="0" fontId="20" fillId="19" borderId="0" xfId="0" applyFont="1" applyFill="1" applyProtection="1">
      <protection hidden="1"/>
    </xf>
    <xf numFmtId="0" fontId="8" fillId="19" borderId="0" xfId="1" applyFill="1" applyProtection="1">
      <protection hidden="1"/>
    </xf>
    <xf numFmtId="0" fontId="0" fillId="19" borderId="0" xfId="0" applyFill="1" applyProtection="1">
      <protection hidden="1"/>
    </xf>
    <xf numFmtId="0" fontId="7" fillId="19" borderId="0" xfId="0" applyFont="1" applyFill="1" applyProtection="1">
      <protection hidden="1"/>
    </xf>
    <xf numFmtId="0" fontId="0" fillId="19" borderId="0" xfId="0" applyFill="1" applyAlignment="1" applyProtection="1">
      <alignment horizontal="center"/>
      <protection hidden="1"/>
    </xf>
    <xf numFmtId="0" fontId="0" fillId="19" borderId="10" xfId="0" applyFill="1" applyBorder="1" applyProtection="1">
      <protection hidden="1"/>
    </xf>
    <xf numFmtId="0" fontId="0" fillId="19" borderId="9" xfId="0" applyFill="1" applyBorder="1" applyProtection="1">
      <protection hidden="1"/>
    </xf>
    <xf numFmtId="0" fontId="8" fillId="19" borderId="0" xfId="1" applyFill="1"/>
    <xf numFmtId="0" fontId="8" fillId="19" borderId="10" xfId="1" applyFill="1" applyBorder="1" applyProtection="1">
      <protection hidden="1"/>
    </xf>
    <xf numFmtId="0" fontId="8" fillId="19" borderId="16" xfId="1" applyFill="1" applyBorder="1" applyProtection="1">
      <protection hidden="1"/>
    </xf>
    <xf numFmtId="44" fontId="16" fillId="0" borderId="16" xfId="1" applyNumberFormat="1" applyFont="1" applyBorder="1" applyProtection="1">
      <protection hidden="1"/>
    </xf>
    <xf numFmtId="0" fontId="0" fillId="4" borderId="0" xfId="0" applyFill="1"/>
    <xf numFmtId="0" fontId="6" fillId="4" borderId="0" xfId="0" applyFont="1" applyFill="1" applyAlignment="1">
      <alignment vertical="center"/>
    </xf>
    <xf numFmtId="0" fontId="3" fillId="4" borderId="4" xfId="0" applyFont="1" applyFill="1" applyBorder="1"/>
    <xf numFmtId="0" fontId="6" fillId="4" borderId="0" xfId="0" applyFont="1" applyFill="1" applyAlignment="1">
      <alignment horizontal="center" vertical="center"/>
    </xf>
    <xf numFmtId="0" fontId="3" fillId="4" borderId="5" xfId="0" applyFont="1" applyFill="1" applyBorder="1"/>
    <xf numFmtId="0" fontId="0" fillId="4" borderId="0" xfId="0" applyFill="1" applyProtection="1">
      <protection hidden="1"/>
    </xf>
    <xf numFmtId="0" fontId="7" fillId="4" borderId="0" xfId="0" applyFont="1" applyFill="1" applyProtection="1">
      <protection hidden="1"/>
    </xf>
    <xf numFmtId="0" fontId="0" fillId="4" borderId="0" xfId="0" applyFill="1" applyAlignment="1" applyProtection="1">
      <alignment horizontal="center"/>
      <protection hidden="1"/>
    </xf>
    <xf numFmtId="0" fontId="8" fillId="4" borderId="0" xfId="1" applyFill="1" applyAlignment="1" applyProtection="1">
      <alignment horizontal="center"/>
      <protection hidden="1"/>
    </xf>
    <xf numFmtId="0" fontId="8" fillId="4" borderId="10" xfId="1" applyFill="1" applyBorder="1" applyAlignment="1" applyProtection="1">
      <alignment horizontal="center"/>
      <protection hidden="1"/>
    </xf>
    <xf numFmtId="0" fontId="8" fillId="4" borderId="10" xfId="1" applyFill="1" applyBorder="1" applyProtection="1">
      <protection hidden="1"/>
    </xf>
    <xf numFmtId="0" fontId="22" fillId="19" borderId="0" xfId="0" applyFont="1" applyFill="1"/>
    <xf numFmtId="0" fontId="8" fillId="19" borderId="0" xfId="1" applyFill="1" applyAlignment="1" applyProtection="1">
      <alignment horizontal="center"/>
      <protection hidden="1"/>
    </xf>
    <xf numFmtId="0" fontId="8" fillId="19" borderId="10" xfId="1" applyFill="1" applyBorder="1" applyAlignment="1" applyProtection="1">
      <alignment horizontal="center"/>
      <protection hidden="1"/>
    </xf>
    <xf numFmtId="0" fontId="9" fillId="19" borderId="0" xfId="1" applyFont="1" applyFill="1"/>
    <xf numFmtId="0" fontId="23" fillId="4" borderId="0" xfId="1" applyFont="1" applyFill="1" applyAlignment="1">
      <alignment horizontal="center"/>
    </xf>
    <xf numFmtId="0" fontId="24" fillId="4" borderId="0" xfId="1" applyFont="1" applyFill="1" applyAlignment="1">
      <alignment horizontal="left"/>
    </xf>
    <xf numFmtId="0" fontId="5" fillId="4" borderId="0" xfId="0" applyFont="1" applyFill="1" applyAlignment="1">
      <alignment vertical="center"/>
    </xf>
    <xf numFmtId="0" fontId="4" fillId="16" borderId="7" xfId="0" applyFont="1" applyFill="1" applyBorder="1" applyProtection="1">
      <protection hidden="1"/>
    </xf>
    <xf numFmtId="0" fontId="0" fillId="0" borderId="14" xfId="0" applyBorder="1" applyProtection="1">
      <protection hidden="1"/>
    </xf>
    <xf numFmtId="0" fontId="3" fillId="0" borderId="14" xfId="0" applyFont="1" applyBorder="1" applyAlignment="1" applyProtection="1">
      <alignment horizontal="center"/>
      <protection hidden="1"/>
    </xf>
    <xf numFmtId="44" fontId="3" fillId="0" borderId="14" xfId="0" applyNumberFormat="1" applyFont="1" applyBorder="1" applyProtection="1">
      <protection hidden="1"/>
    </xf>
    <xf numFmtId="0" fontId="3" fillId="0" borderId="14" xfId="0" applyFont="1" applyBorder="1" applyAlignment="1" applyProtection="1">
      <alignment horizontal="right"/>
      <protection hidden="1"/>
    </xf>
    <xf numFmtId="44" fontId="16" fillId="0" borderId="0" xfId="1" applyNumberFormat="1" applyFont="1" applyProtection="1">
      <protection hidden="1"/>
    </xf>
    <xf numFmtId="0" fontId="9" fillId="2" borderId="1" xfId="1" applyFont="1" applyFill="1" applyBorder="1" applyAlignment="1">
      <alignment horizontal="center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6" fillId="0" borderId="0" xfId="1" applyFont="1" applyProtection="1">
      <protection hidden="1"/>
    </xf>
    <xf numFmtId="0" fontId="17" fillId="8" borderId="0" xfId="0" applyFont="1" applyFill="1" applyProtection="1">
      <protection hidden="1"/>
    </xf>
    <xf numFmtId="0" fontId="0" fillId="8" borderId="10" xfId="0" applyFill="1" applyBorder="1" applyProtection="1">
      <protection hidden="1"/>
    </xf>
    <xf numFmtId="0" fontId="17" fillId="8" borderId="0" xfId="0" applyFont="1" applyFill="1" applyAlignment="1" applyProtection="1">
      <alignment horizontal="left"/>
      <protection hidden="1"/>
    </xf>
    <xf numFmtId="0" fontId="8" fillId="4" borderId="16" xfId="1" applyFill="1" applyBorder="1" applyProtection="1">
      <protection hidden="1"/>
    </xf>
    <xf numFmtId="44" fontId="16" fillId="4" borderId="0" xfId="1" applyNumberFormat="1" applyFont="1" applyFill="1" applyProtection="1">
      <protection hidden="1"/>
    </xf>
    <xf numFmtId="164" fontId="16" fillId="0" borderId="0" xfId="1" applyNumberFormat="1" applyFont="1" applyProtection="1">
      <protection hidden="1"/>
    </xf>
    <xf numFmtId="0" fontId="15" fillId="4" borderId="0" xfId="1" applyFont="1" applyFill="1" applyProtection="1">
      <protection hidden="1"/>
    </xf>
    <xf numFmtId="0" fontId="8" fillId="8" borderId="0" xfId="1" applyFill="1" applyProtection="1">
      <protection hidden="1"/>
    </xf>
    <xf numFmtId="164" fontId="16" fillId="8" borderId="0" xfId="1" applyNumberFormat="1" applyFont="1" applyFill="1" applyProtection="1">
      <protection hidden="1"/>
    </xf>
    <xf numFmtId="44" fontId="16" fillId="19" borderId="0" xfId="1" applyNumberFormat="1" applyFont="1" applyFill="1" applyProtection="1">
      <protection hidden="1"/>
    </xf>
    <xf numFmtId="0" fontId="15" fillId="19" borderId="0" xfId="1" applyFont="1" applyFill="1" applyProtection="1">
      <protection hidden="1"/>
    </xf>
    <xf numFmtId="0" fontId="0" fillId="19" borderId="10" xfId="0" applyFill="1" applyBorder="1"/>
    <xf numFmtId="0" fontId="10" fillId="2" borderId="1" xfId="0" applyFont="1" applyFill="1" applyBorder="1" applyAlignment="1" applyProtection="1">
      <alignment horizontal="center"/>
      <protection locked="0"/>
    </xf>
    <xf numFmtId="0" fontId="17" fillId="19" borderId="0" xfId="0" applyFont="1" applyFill="1" applyProtection="1">
      <protection hidden="1"/>
    </xf>
    <xf numFmtId="0" fontId="17" fillId="19" borderId="0" xfId="0" applyFont="1" applyFill="1" applyAlignment="1" applyProtection="1">
      <alignment horizontal="left"/>
      <protection hidden="1"/>
    </xf>
    <xf numFmtId="0" fontId="21" fillId="19" borderId="0" xfId="0" applyFont="1" applyFill="1" applyAlignment="1">
      <alignment vertical="center"/>
    </xf>
    <xf numFmtId="0" fontId="25" fillId="19" borderId="0" xfId="0" applyFont="1" applyFill="1" applyAlignment="1">
      <alignment vertical="center"/>
    </xf>
    <xf numFmtId="0" fontId="26" fillId="4" borderId="0" xfId="0" applyFont="1" applyFill="1" applyAlignment="1">
      <alignment vertical="center"/>
    </xf>
    <xf numFmtId="0" fontId="10" fillId="19" borderId="0" xfId="0" applyFont="1" applyFill="1"/>
    <xf numFmtId="0" fontId="0" fillId="3" borderId="10" xfId="0" applyFill="1" applyBorder="1" applyAlignment="1" applyProtection="1">
      <alignment horizontal="center"/>
      <protection hidden="1"/>
    </xf>
    <xf numFmtId="44" fontId="0" fillId="3" borderId="10" xfId="0" applyNumberFormat="1" applyFill="1" applyBorder="1" applyProtection="1">
      <protection hidden="1"/>
    </xf>
    <xf numFmtId="44" fontId="0" fillId="3" borderId="29" xfId="0" applyNumberFormat="1" applyFill="1" applyBorder="1" applyAlignment="1" applyProtection="1">
      <alignment horizontal="center"/>
      <protection hidden="1"/>
    </xf>
    <xf numFmtId="44" fontId="10" fillId="3" borderId="22" xfId="0" applyNumberFormat="1" applyFont="1" applyFill="1" applyBorder="1" applyAlignment="1" applyProtection="1">
      <alignment horizontal="center"/>
      <protection hidden="1"/>
    </xf>
    <xf numFmtId="44" fontId="10" fillId="3" borderId="23" xfId="0" applyNumberFormat="1" applyFont="1" applyFill="1" applyBorder="1" applyProtection="1">
      <protection hidden="1"/>
    </xf>
    <xf numFmtId="44" fontId="2" fillId="3" borderId="36" xfId="0" applyNumberFormat="1" applyFont="1" applyFill="1" applyBorder="1" applyAlignment="1" applyProtection="1">
      <alignment horizontal="center"/>
      <protection hidden="1"/>
    </xf>
    <xf numFmtId="44" fontId="0" fillId="3" borderId="8" xfId="0" applyNumberFormat="1" applyFill="1" applyBorder="1" applyAlignment="1" applyProtection="1">
      <alignment horizontal="center"/>
      <protection hidden="1"/>
    </xf>
    <xf numFmtId="44" fontId="0" fillId="3" borderId="9" xfId="0" applyNumberFormat="1" applyFill="1" applyBorder="1" applyProtection="1">
      <protection hidden="1"/>
    </xf>
    <xf numFmtId="0" fontId="28" fillId="9" borderId="7" xfId="0" applyFont="1" applyFill="1" applyBorder="1" applyAlignment="1" applyProtection="1">
      <alignment horizontal="center"/>
      <protection hidden="1"/>
    </xf>
    <xf numFmtId="44" fontId="28" fillId="9" borderId="11" xfId="0" applyNumberFormat="1" applyFont="1" applyFill="1" applyBorder="1" applyProtection="1">
      <protection hidden="1"/>
    </xf>
    <xf numFmtId="44" fontId="27" fillId="9" borderId="22" xfId="0" applyNumberFormat="1" applyFont="1" applyFill="1" applyBorder="1" applyProtection="1">
      <protection hidden="1"/>
    </xf>
    <xf numFmtId="44" fontId="27" fillId="9" borderId="23" xfId="0" applyNumberFormat="1" applyFont="1" applyFill="1" applyBorder="1" applyProtection="1">
      <protection hidden="1"/>
    </xf>
    <xf numFmtId="44" fontId="28" fillId="9" borderId="8" xfId="0" applyNumberFormat="1" applyFont="1" applyFill="1" applyBorder="1" applyProtection="1">
      <protection hidden="1"/>
    </xf>
    <xf numFmtId="44" fontId="28" fillId="9" borderId="9" xfId="0" applyNumberFormat="1" applyFont="1" applyFill="1" applyBorder="1" applyProtection="1">
      <protection hidden="1"/>
    </xf>
    <xf numFmtId="44" fontId="2" fillId="10" borderId="36" xfId="0" applyNumberFormat="1" applyFont="1" applyFill="1" applyBorder="1" applyAlignment="1" applyProtection="1">
      <alignment horizontal="center"/>
      <protection hidden="1"/>
    </xf>
    <xf numFmtId="0" fontId="28" fillId="10" borderId="7" xfId="0" applyFont="1" applyFill="1" applyBorder="1" applyAlignment="1" applyProtection="1">
      <alignment horizontal="center"/>
      <protection hidden="1"/>
    </xf>
    <xf numFmtId="0" fontId="28" fillId="10" borderId="12" xfId="0" applyFont="1" applyFill="1" applyBorder="1" applyAlignment="1" applyProtection="1">
      <alignment horizontal="center"/>
      <protection hidden="1"/>
    </xf>
    <xf numFmtId="44" fontId="28" fillId="10" borderId="11" xfId="0" applyNumberFormat="1" applyFont="1" applyFill="1" applyBorder="1" applyProtection="1">
      <protection hidden="1"/>
    </xf>
    <xf numFmtId="44" fontId="27" fillId="10" borderId="22" xfId="0" applyNumberFormat="1" applyFont="1" applyFill="1" applyBorder="1" applyProtection="1">
      <protection hidden="1"/>
    </xf>
    <xf numFmtId="44" fontId="27" fillId="10" borderId="32" xfId="0" applyNumberFormat="1" applyFont="1" applyFill="1" applyBorder="1" applyProtection="1">
      <protection hidden="1"/>
    </xf>
    <xf numFmtId="44" fontId="28" fillId="10" borderId="8" xfId="0" applyNumberFormat="1" applyFont="1" applyFill="1" applyBorder="1" applyProtection="1">
      <protection hidden="1"/>
    </xf>
    <xf numFmtId="44" fontId="28" fillId="10" borderId="9" xfId="0" applyNumberFormat="1" applyFont="1" applyFill="1" applyBorder="1" applyProtection="1">
      <protection hidden="1"/>
    </xf>
    <xf numFmtId="44" fontId="2" fillId="15" borderId="36" xfId="0" applyNumberFormat="1" applyFont="1" applyFill="1" applyBorder="1" applyAlignment="1" applyProtection="1">
      <alignment horizontal="center"/>
      <protection hidden="1"/>
    </xf>
    <xf numFmtId="44" fontId="28" fillId="10" borderId="13" xfId="0" applyNumberFormat="1" applyFont="1" applyFill="1" applyBorder="1" applyProtection="1">
      <protection hidden="1"/>
    </xf>
    <xf numFmtId="44" fontId="28" fillId="10" borderId="19" xfId="0" applyNumberFormat="1" applyFont="1" applyFill="1" applyBorder="1" applyProtection="1">
      <protection hidden="1"/>
    </xf>
    <xf numFmtId="44" fontId="27" fillId="10" borderId="31" xfId="0" applyNumberFormat="1" applyFont="1" applyFill="1" applyBorder="1" applyProtection="1">
      <protection hidden="1"/>
    </xf>
    <xf numFmtId="44" fontId="2" fillId="10" borderId="25" xfId="0" applyNumberFormat="1" applyFont="1" applyFill="1" applyBorder="1" applyAlignment="1" applyProtection="1">
      <alignment horizontal="center"/>
      <protection hidden="1"/>
    </xf>
    <xf numFmtId="0" fontId="3" fillId="3" borderId="14" xfId="0" applyFont="1" applyFill="1" applyBorder="1" applyAlignment="1" applyProtection="1">
      <alignment horizontal="center"/>
      <protection hidden="1"/>
    </xf>
    <xf numFmtId="0" fontId="0" fillId="3" borderId="12" xfId="0" applyFill="1" applyBorder="1" applyAlignment="1" applyProtection="1">
      <alignment horizontal="center"/>
      <protection hidden="1"/>
    </xf>
    <xf numFmtId="44" fontId="0" fillId="3" borderId="14" xfId="0" applyNumberFormat="1" applyFill="1" applyBorder="1" applyAlignment="1" applyProtection="1">
      <alignment horizontal="center"/>
      <protection hidden="1"/>
    </xf>
    <xf numFmtId="44" fontId="0" fillId="3" borderId="13" xfId="0" applyNumberFormat="1" applyFill="1" applyBorder="1" applyProtection="1">
      <protection hidden="1"/>
    </xf>
    <xf numFmtId="44" fontId="28" fillId="9" borderId="10" xfId="0" applyNumberFormat="1" applyFont="1" applyFill="1" applyBorder="1" applyProtection="1">
      <protection hidden="1"/>
    </xf>
    <xf numFmtId="0" fontId="28" fillId="9" borderId="12" xfId="0" applyFont="1" applyFill="1" applyBorder="1" applyAlignment="1" applyProtection="1">
      <alignment horizontal="center"/>
      <protection hidden="1"/>
    </xf>
    <xf numFmtId="44" fontId="28" fillId="9" borderId="13" xfId="0" applyNumberFormat="1" applyFont="1" applyFill="1" applyBorder="1" applyProtection="1">
      <protection hidden="1"/>
    </xf>
    <xf numFmtId="44" fontId="28" fillId="9" borderId="31" xfId="0" applyNumberFormat="1" applyFont="1" applyFill="1" applyBorder="1" applyAlignment="1" applyProtection="1">
      <alignment horizontal="center"/>
      <protection hidden="1"/>
    </xf>
    <xf numFmtId="0" fontId="28" fillId="10" borderId="6" xfId="0" applyFont="1" applyFill="1" applyBorder="1" applyAlignment="1" applyProtection="1">
      <alignment horizontal="center"/>
      <protection hidden="1"/>
    </xf>
    <xf numFmtId="44" fontId="28" fillId="10" borderId="14" xfId="0" applyNumberFormat="1" applyFont="1" applyFill="1" applyBorder="1" applyProtection="1">
      <protection hidden="1"/>
    </xf>
    <xf numFmtId="44" fontId="28" fillId="10" borderId="33" xfId="0" applyNumberFormat="1" applyFont="1" applyFill="1" applyBorder="1" applyProtection="1">
      <protection hidden="1"/>
    </xf>
    <xf numFmtId="0" fontId="29" fillId="4" borderId="0" xfId="0" applyFont="1" applyFill="1"/>
    <xf numFmtId="0" fontId="29" fillId="19" borderId="0" xfId="0" applyFont="1" applyFill="1"/>
    <xf numFmtId="0" fontId="8" fillId="20" borderId="0" xfId="1" applyFill="1" applyProtection="1">
      <protection hidden="1"/>
    </xf>
    <xf numFmtId="0" fontId="3" fillId="8" borderId="0" xfId="0" applyFont="1" applyFill="1" applyAlignment="1" applyProtection="1">
      <alignment horizontal="center"/>
      <protection hidden="1"/>
    </xf>
    <xf numFmtId="164" fontId="3" fillId="8" borderId="27" xfId="0" applyNumberFormat="1" applyFont="1" applyFill="1" applyBorder="1" applyAlignment="1" applyProtection="1">
      <alignment horizontal="left"/>
      <protection hidden="1"/>
    </xf>
    <xf numFmtId="0" fontId="3" fillId="8" borderId="5" xfId="0" applyFont="1" applyFill="1" applyBorder="1" applyAlignment="1" applyProtection="1">
      <alignment horizontal="center"/>
      <protection hidden="1"/>
    </xf>
    <xf numFmtId="164" fontId="3" fillId="8" borderId="18" xfId="0" applyNumberFormat="1" applyFont="1" applyFill="1" applyBorder="1" applyAlignment="1" applyProtection="1">
      <alignment horizontal="left"/>
      <protection hidden="1"/>
    </xf>
    <xf numFmtId="0" fontId="3" fillId="5" borderId="28" xfId="0" applyFont="1" applyFill="1" applyBorder="1" applyAlignment="1" applyProtection="1">
      <alignment horizontal="center"/>
      <protection hidden="1"/>
    </xf>
    <xf numFmtId="44" fontId="2" fillId="5" borderId="39" xfId="0" applyNumberFormat="1" applyFont="1" applyFill="1" applyBorder="1" applyProtection="1">
      <protection hidden="1"/>
    </xf>
    <xf numFmtId="44" fontId="10" fillId="5" borderId="28" xfId="0" applyNumberFormat="1" applyFont="1" applyFill="1" applyBorder="1" applyProtection="1">
      <protection hidden="1"/>
    </xf>
    <xf numFmtId="44" fontId="10" fillId="5" borderId="7" xfId="0" applyNumberFormat="1" applyFont="1" applyFill="1" applyBorder="1" applyProtection="1">
      <protection hidden="1"/>
    </xf>
    <xf numFmtId="44" fontId="14" fillId="6" borderId="7" xfId="0" applyNumberFormat="1" applyFont="1" applyFill="1" applyBorder="1" applyProtection="1">
      <protection hidden="1"/>
    </xf>
    <xf numFmtId="0" fontId="3" fillId="9" borderId="28" xfId="0" applyFont="1" applyFill="1" applyBorder="1" applyAlignment="1" applyProtection="1">
      <alignment horizontal="center"/>
      <protection hidden="1"/>
    </xf>
    <xf numFmtId="0" fontId="0" fillId="9" borderId="7" xfId="0" applyFill="1" applyBorder="1" applyAlignment="1" applyProtection="1">
      <alignment horizontal="center"/>
      <protection hidden="1"/>
    </xf>
    <xf numFmtId="44" fontId="10" fillId="9" borderId="40" xfId="0" applyNumberFormat="1" applyFont="1" applyFill="1" applyBorder="1" applyAlignment="1" applyProtection="1">
      <alignment horizontal="center"/>
      <protection hidden="1"/>
    </xf>
    <xf numFmtId="44" fontId="10" fillId="9" borderId="40" xfId="0" applyNumberFormat="1" applyFont="1" applyFill="1" applyBorder="1" applyProtection="1">
      <protection hidden="1"/>
    </xf>
    <xf numFmtId="44" fontId="14" fillId="14" borderId="40" xfId="0" applyNumberFormat="1" applyFont="1" applyFill="1" applyBorder="1" applyProtection="1">
      <protection hidden="1"/>
    </xf>
    <xf numFmtId="44" fontId="2" fillId="9" borderId="40" xfId="0" applyNumberFormat="1" applyFont="1" applyFill="1" applyBorder="1" applyAlignment="1" applyProtection="1">
      <alignment horizontal="center"/>
      <protection hidden="1"/>
    </xf>
    <xf numFmtId="44" fontId="2" fillId="9" borderId="40" xfId="0" applyNumberFormat="1" applyFont="1" applyFill="1" applyBorder="1" applyProtection="1">
      <protection hidden="1"/>
    </xf>
    <xf numFmtId="44" fontId="4" fillId="14" borderId="40" xfId="0" applyNumberFormat="1" applyFont="1" applyFill="1" applyBorder="1" applyProtection="1">
      <protection hidden="1"/>
    </xf>
    <xf numFmtId="44" fontId="0" fillId="9" borderId="40" xfId="0" applyNumberFormat="1" applyFill="1" applyBorder="1" applyAlignment="1" applyProtection="1">
      <alignment horizontal="center"/>
      <protection hidden="1"/>
    </xf>
    <xf numFmtId="44" fontId="0" fillId="9" borderId="40" xfId="0" applyNumberFormat="1" applyFill="1" applyBorder="1" applyProtection="1">
      <protection hidden="1"/>
    </xf>
    <xf numFmtId="0" fontId="10" fillId="0" borderId="40" xfId="0" applyFont="1" applyBorder="1" applyAlignment="1" applyProtection="1">
      <alignment horizontal="right"/>
      <protection hidden="1"/>
    </xf>
    <xf numFmtId="44" fontId="10" fillId="15" borderId="40" xfId="0" applyNumberFormat="1" applyFont="1" applyFill="1" applyBorder="1" applyProtection="1">
      <protection hidden="1"/>
    </xf>
    <xf numFmtId="44" fontId="14" fillId="16" borderId="40" xfId="0" applyNumberFormat="1" applyFont="1" applyFill="1" applyBorder="1" applyProtection="1">
      <protection hidden="1"/>
    </xf>
    <xf numFmtId="0" fontId="3" fillId="0" borderId="40" xfId="0" applyFont="1" applyBorder="1" applyAlignment="1" applyProtection="1">
      <alignment horizontal="right"/>
      <protection hidden="1"/>
    </xf>
    <xf numFmtId="44" fontId="2" fillId="15" borderId="40" xfId="0" applyNumberFormat="1" applyFont="1" applyFill="1" applyBorder="1" applyProtection="1">
      <protection hidden="1"/>
    </xf>
    <xf numFmtId="44" fontId="4" fillId="16" borderId="40" xfId="0" applyNumberFormat="1" applyFont="1" applyFill="1" applyBorder="1" applyProtection="1">
      <protection hidden="1"/>
    </xf>
    <xf numFmtId="44" fontId="0" fillId="15" borderId="40" xfId="0" applyNumberFormat="1" applyFill="1" applyBorder="1" applyProtection="1">
      <protection hidden="1"/>
    </xf>
    <xf numFmtId="44" fontId="10" fillId="10" borderId="40" xfId="0" applyNumberFormat="1" applyFont="1" applyFill="1" applyBorder="1" applyProtection="1">
      <protection hidden="1"/>
    </xf>
    <xf numFmtId="44" fontId="14" fillId="18" borderId="40" xfId="0" applyNumberFormat="1" applyFont="1" applyFill="1" applyBorder="1" applyProtection="1">
      <protection hidden="1"/>
    </xf>
    <xf numFmtId="0" fontId="19" fillId="0" borderId="40" xfId="0" applyFont="1" applyBorder="1" applyAlignment="1" applyProtection="1">
      <alignment horizontal="right"/>
      <protection hidden="1"/>
    </xf>
    <xf numFmtId="44" fontId="2" fillId="10" borderId="40" xfId="0" applyNumberFormat="1" applyFont="1" applyFill="1" applyBorder="1" applyProtection="1">
      <protection hidden="1"/>
    </xf>
    <xf numFmtId="44" fontId="4" fillId="18" borderId="40" xfId="0" applyNumberFormat="1" applyFont="1" applyFill="1" applyBorder="1" applyProtection="1">
      <protection hidden="1"/>
    </xf>
    <xf numFmtId="44" fontId="0" fillId="10" borderId="40" xfId="0" applyNumberFormat="1" applyFill="1" applyBorder="1" applyProtection="1">
      <protection hidden="1"/>
    </xf>
    <xf numFmtId="0" fontId="0" fillId="4" borderId="5" xfId="0" applyFill="1" applyBorder="1" applyProtection="1">
      <protection hidden="1"/>
    </xf>
    <xf numFmtId="44" fontId="0" fillId="5" borderId="27" xfId="0" applyNumberFormat="1" applyFill="1" applyBorder="1" applyProtection="1">
      <protection hidden="1"/>
    </xf>
    <xf numFmtId="0" fontId="12" fillId="0" borderId="40" xfId="0" applyFont="1" applyBorder="1" applyAlignment="1" applyProtection="1">
      <alignment horizontal="right"/>
      <protection hidden="1"/>
    </xf>
    <xf numFmtId="44" fontId="10" fillId="5" borderId="40" xfId="0" applyNumberFormat="1" applyFont="1" applyFill="1" applyBorder="1" applyProtection="1">
      <protection hidden="1"/>
    </xf>
    <xf numFmtId="44" fontId="14" fillId="6" borderId="40" xfId="0" applyNumberFormat="1" applyFont="1" applyFill="1" applyBorder="1" applyProtection="1">
      <protection hidden="1"/>
    </xf>
    <xf numFmtId="44" fontId="2" fillId="5" borderId="40" xfId="0" applyNumberFormat="1" applyFont="1" applyFill="1" applyBorder="1" applyProtection="1">
      <protection hidden="1"/>
    </xf>
    <xf numFmtId="44" fontId="4" fillId="6" borderId="40" xfId="0" applyNumberFormat="1" applyFont="1" applyFill="1" applyBorder="1" applyProtection="1">
      <protection hidden="1"/>
    </xf>
    <xf numFmtId="44" fontId="0" fillId="5" borderId="40" xfId="0" applyNumberFormat="1" applyFill="1" applyBorder="1" applyProtection="1">
      <protection hidden="1"/>
    </xf>
    <xf numFmtId="44" fontId="4" fillId="6" borderId="11" xfId="0" applyNumberFormat="1" applyFont="1" applyFill="1" applyBorder="1" applyProtection="1">
      <protection hidden="1"/>
    </xf>
    <xf numFmtId="0" fontId="0" fillId="21" borderId="0" xfId="0" applyFill="1"/>
    <xf numFmtId="0" fontId="6" fillId="21" borderId="0" xfId="0" applyFont="1" applyFill="1" applyAlignment="1">
      <alignment horizontal="center" vertical="center"/>
    </xf>
    <xf numFmtId="0" fontId="8" fillId="21" borderId="0" xfId="1" applyFill="1"/>
    <xf numFmtId="0" fontId="8" fillId="21" borderId="0" xfId="1" applyFill="1" applyProtection="1">
      <protection hidden="1"/>
    </xf>
    <xf numFmtId="0" fontId="0" fillId="21" borderId="0" xfId="0" applyFill="1" applyProtection="1">
      <protection hidden="1"/>
    </xf>
    <xf numFmtId="0" fontId="7" fillId="21" borderId="0" xfId="0" applyFont="1" applyFill="1" applyProtection="1">
      <protection hidden="1"/>
    </xf>
    <xf numFmtId="0" fontId="0" fillId="2" borderId="10" xfId="0" applyFill="1" applyBorder="1" applyProtection="1">
      <protection hidden="1"/>
    </xf>
    <xf numFmtId="0" fontId="0" fillId="2" borderId="0" xfId="0" applyFill="1"/>
    <xf numFmtId="0" fontId="0" fillId="2" borderId="0" xfId="0" applyFill="1" applyProtection="1">
      <protection hidden="1"/>
    </xf>
    <xf numFmtId="0" fontId="8" fillId="2" borderId="0" xfId="1" applyFill="1"/>
    <xf numFmtId="0" fontId="9" fillId="2" borderId="6" xfId="1" applyFont="1" applyFill="1" applyBorder="1" applyAlignment="1">
      <alignment horizontal="center"/>
    </xf>
    <xf numFmtId="0" fontId="33" fillId="2" borderId="7" xfId="0" applyFont="1" applyFill="1" applyBorder="1" applyAlignment="1" applyProtection="1">
      <alignment horizontal="center" vertical="center"/>
      <protection locked="0"/>
    </xf>
    <xf numFmtId="0" fontId="26" fillId="4" borderId="0" xfId="0" applyFont="1" applyFill="1" applyAlignment="1" applyProtection="1">
      <alignment horizontal="left"/>
      <protection hidden="1"/>
    </xf>
    <xf numFmtId="0" fontId="33" fillId="2" borderId="9" xfId="0" applyFont="1" applyFill="1" applyBorder="1" applyAlignment="1" applyProtection="1">
      <alignment horizontal="center" vertical="center"/>
      <protection locked="0"/>
    </xf>
    <xf numFmtId="0" fontId="8" fillId="0" borderId="0" xfId="1"/>
    <xf numFmtId="0" fontId="33" fillId="2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/>
    <xf numFmtId="0" fontId="0" fillId="0" borderId="6" xfId="0" applyBorder="1" applyAlignment="1" applyProtection="1">
      <alignment horizontal="right"/>
      <protection hidden="1"/>
    </xf>
    <xf numFmtId="0" fontId="0" fillId="5" borderId="43" xfId="0" applyFill="1" applyBorder="1" applyAlignment="1" applyProtection="1">
      <alignment horizontal="center"/>
      <protection hidden="1"/>
    </xf>
    <xf numFmtId="0" fontId="4" fillId="6" borderId="28" xfId="0" applyFont="1" applyFill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right"/>
      <protection hidden="1"/>
    </xf>
    <xf numFmtId="0" fontId="3" fillId="5" borderId="29" xfId="0" applyFont="1" applyFill="1" applyBorder="1" applyAlignment="1" applyProtection="1">
      <alignment horizontal="center"/>
      <protection hidden="1"/>
    </xf>
    <xf numFmtId="0" fontId="3" fillId="5" borderId="32" xfId="0" applyFont="1" applyFill="1" applyBorder="1" applyAlignment="1" applyProtection="1">
      <alignment horizontal="center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30" xfId="0" applyFont="1" applyFill="1" applyBorder="1" applyAlignment="1" applyProtection="1">
      <alignment horizontal="center"/>
      <protection hidden="1"/>
    </xf>
    <xf numFmtId="0" fontId="4" fillId="6" borderId="11" xfId="0" applyFont="1" applyFill="1" applyBorder="1" applyProtection="1">
      <protection hidden="1"/>
    </xf>
    <xf numFmtId="0" fontId="1" fillId="6" borderId="11" xfId="0" applyFont="1" applyFill="1" applyBorder="1" applyProtection="1">
      <protection hidden="1"/>
    </xf>
    <xf numFmtId="0" fontId="3" fillId="0" borderId="8" xfId="0" applyFont="1" applyBorder="1" applyAlignment="1" applyProtection="1">
      <alignment horizontal="right"/>
      <protection hidden="1"/>
    </xf>
    <xf numFmtId="44" fontId="4" fillId="6" borderId="17" xfId="0" applyNumberFormat="1" applyFont="1" applyFill="1" applyBorder="1" applyProtection="1">
      <protection hidden="1"/>
    </xf>
    <xf numFmtId="0" fontId="12" fillId="0" borderId="44" xfId="0" applyFont="1" applyBorder="1" applyAlignment="1" applyProtection="1">
      <alignment horizontal="right"/>
      <protection hidden="1"/>
    </xf>
    <xf numFmtId="44" fontId="10" fillId="5" borderId="29" xfId="0" applyNumberFormat="1" applyFont="1" applyFill="1" applyBorder="1" applyProtection="1">
      <protection hidden="1"/>
    </xf>
    <xf numFmtId="44" fontId="10" fillId="5" borderId="10" xfId="0" applyNumberFormat="1" applyFont="1" applyFill="1" applyBorder="1" applyProtection="1">
      <protection hidden="1"/>
    </xf>
    <xf numFmtId="44" fontId="14" fillId="6" borderId="11" xfId="0" applyNumberFormat="1" applyFont="1" applyFill="1" applyBorder="1" applyProtection="1">
      <protection hidden="1"/>
    </xf>
    <xf numFmtId="44" fontId="14" fillId="6" borderId="10" xfId="0" applyNumberFormat="1" applyFont="1" applyFill="1" applyBorder="1" applyProtection="1">
      <protection hidden="1"/>
    </xf>
    <xf numFmtId="0" fontId="19" fillId="0" borderId="25" xfId="0" applyFont="1" applyBorder="1" applyAlignment="1" applyProtection="1">
      <alignment horizontal="right"/>
      <protection hidden="1"/>
    </xf>
    <xf numFmtId="44" fontId="4" fillId="6" borderId="39" xfId="0" applyNumberFormat="1" applyFont="1" applyFill="1" applyBorder="1" applyProtection="1">
      <protection hidden="1"/>
    </xf>
    <xf numFmtId="0" fontId="3" fillId="0" borderId="45" xfId="0" applyFont="1" applyBorder="1" applyAlignment="1" applyProtection="1">
      <alignment horizontal="right"/>
      <protection hidden="1"/>
    </xf>
    <xf numFmtId="0" fontId="0" fillId="0" borderId="12" xfId="0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8" fillId="0" borderId="13" xfId="1" applyBorder="1" applyAlignment="1" applyProtection="1">
      <alignment horizontal="right"/>
      <protection hidden="1"/>
    </xf>
    <xf numFmtId="0" fontId="3" fillId="15" borderId="28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10" borderId="28" xfId="0" applyFont="1" applyFill="1" applyBorder="1" applyAlignment="1" applyProtection="1">
      <alignment horizontal="center"/>
      <protection hidden="1"/>
    </xf>
    <xf numFmtId="0" fontId="1" fillId="18" borderId="28" xfId="0" applyFont="1" applyFill="1" applyBorder="1" applyAlignment="1" applyProtection="1">
      <alignment horizontal="center"/>
      <protection hidden="1"/>
    </xf>
    <xf numFmtId="0" fontId="3" fillId="15" borderId="11" xfId="0" applyFont="1" applyFill="1" applyBorder="1" applyAlignment="1" applyProtection="1">
      <alignment horizontal="center"/>
      <protection hidden="1"/>
    </xf>
    <xf numFmtId="44" fontId="3" fillId="0" borderId="0" xfId="0" applyNumberFormat="1" applyFont="1" applyProtection="1">
      <protection hidden="1"/>
    </xf>
    <xf numFmtId="0" fontId="3" fillId="10" borderId="11" xfId="0" applyFont="1" applyFill="1" applyBorder="1" applyAlignment="1" applyProtection="1">
      <alignment horizontal="center"/>
      <protection hidden="1"/>
    </xf>
    <xf numFmtId="0" fontId="1" fillId="18" borderId="11" xfId="0" applyFont="1" applyFill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right"/>
      <protection hidden="1"/>
    </xf>
    <xf numFmtId="44" fontId="0" fillId="15" borderId="11" xfId="0" applyNumberFormat="1" applyFill="1" applyBorder="1" applyProtection="1">
      <protection hidden="1"/>
    </xf>
    <xf numFmtId="44" fontId="0" fillId="10" borderId="11" xfId="0" applyNumberFormat="1" applyFill="1" applyBorder="1" applyProtection="1">
      <protection hidden="1"/>
    </xf>
    <xf numFmtId="44" fontId="4" fillId="18" borderId="11" xfId="0" applyNumberFormat="1" applyFont="1" applyFill="1" applyBorder="1" applyProtection="1">
      <protection hidden="1"/>
    </xf>
    <xf numFmtId="0" fontId="0" fillId="15" borderId="11" xfId="0" applyFill="1" applyBorder="1" applyProtection="1">
      <protection hidden="1"/>
    </xf>
    <xf numFmtId="0" fontId="0" fillId="10" borderId="11" xfId="0" applyFill="1" applyBorder="1" applyProtection="1">
      <protection hidden="1"/>
    </xf>
    <xf numFmtId="0" fontId="4" fillId="18" borderId="11" xfId="0" applyFont="1" applyFill="1" applyBorder="1" applyProtection="1">
      <protection hidden="1"/>
    </xf>
    <xf numFmtId="0" fontId="3" fillId="15" borderId="11" xfId="0" applyFont="1" applyFill="1" applyBorder="1" applyProtection="1">
      <protection hidden="1"/>
    </xf>
    <xf numFmtId="44" fontId="0" fillId="15" borderId="29" xfId="0" applyNumberFormat="1" applyFill="1" applyBorder="1" applyProtection="1">
      <protection hidden="1"/>
    </xf>
    <xf numFmtId="44" fontId="4" fillId="16" borderId="29" xfId="0" applyNumberFormat="1" applyFont="1" applyFill="1" applyBorder="1" applyProtection="1">
      <protection hidden="1"/>
    </xf>
    <xf numFmtId="44" fontId="0" fillId="10" borderId="29" xfId="0" applyNumberFormat="1" applyFill="1" applyBorder="1" applyProtection="1">
      <protection hidden="1"/>
    </xf>
    <xf numFmtId="44" fontId="4" fillId="18" borderId="29" xfId="0" applyNumberFormat="1" applyFont="1" applyFill="1" applyBorder="1" applyProtection="1">
      <protection hidden="1"/>
    </xf>
    <xf numFmtId="0" fontId="3" fillId="0" borderId="35" xfId="0" applyFont="1" applyBorder="1" applyAlignment="1" applyProtection="1">
      <alignment horizontal="right"/>
      <protection hidden="1"/>
    </xf>
    <xf numFmtId="44" fontId="10" fillId="9" borderId="39" xfId="0" applyNumberFormat="1" applyFont="1" applyFill="1" applyBorder="1" applyAlignment="1" applyProtection="1">
      <alignment horizontal="center"/>
      <protection hidden="1"/>
    </xf>
    <xf numFmtId="44" fontId="10" fillId="9" borderId="23" xfId="0" applyNumberFormat="1" applyFont="1" applyFill="1" applyBorder="1" applyProtection="1">
      <protection hidden="1"/>
    </xf>
    <xf numFmtId="44" fontId="14" fillId="14" borderId="22" xfId="0" applyNumberFormat="1" applyFont="1" applyFill="1" applyBorder="1" applyProtection="1">
      <protection hidden="1"/>
    </xf>
    <xf numFmtId="44" fontId="14" fillId="14" borderId="23" xfId="0" applyNumberFormat="1" applyFont="1" applyFill="1" applyBorder="1" applyProtection="1">
      <protection hidden="1"/>
    </xf>
    <xf numFmtId="0" fontId="10" fillId="0" borderId="20" xfId="0" applyFont="1" applyBorder="1" applyAlignment="1" applyProtection="1">
      <alignment horizontal="right"/>
      <protection hidden="1"/>
    </xf>
    <xf numFmtId="44" fontId="10" fillId="15" borderId="39" xfId="0" applyNumberFormat="1" applyFont="1" applyFill="1" applyBorder="1" applyProtection="1">
      <protection hidden="1"/>
    </xf>
    <xf numFmtId="44" fontId="14" fillId="16" borderId="22" xfId="0" applyNumberFormat="1" applyFont="1" applyFill="1" applyBorder="1" applyProtection="1">
      <protection hidden="1"/>
    </xf>
    <xf numFmtId="44" fontId="14" fillId="16" borderId="32" xfId="0" applyNumberFormat="1" applyFont="1" applyFill="1" applyBorder="1" applyProtection="1">
      <protection hidden="1"/>
    </xf>
    <xf numFmtId="44" fontId="10" fillId="10" borderId="39" xfId="0" applyNumberFormat="1" applyFont="1" applyFill="1" applyBorder="1" applyProtection="1">
      <protection hidden="1"/>
    </xf>
    <xf numFmtId="44" fontId="10" fillId="10" borderId="23" xfId="0" applyNumberFormat="1" applyFont="1" applyFill="1" applyBorder="1" applyProtection="1">
      <protection hidden="1"/>
    </xf>
    <xf numFmtId="44" fontId="14" fillId="18" borderId="39" xfId="0" applyNumberFormat="1" applyFont="1" applyFill="1" applyBorder="1" applyProtection="1">
      <protection hidden="1"/>
    </xf>
    <xf numFmtId="44" fontId="14" fillId="18" borderId="23" xfId="0" applyNumberFormat="1" applyFont="1" applyFill="1" applyBorder="1" applyProtection="1">
      <protection hidden="1"/>
    </xf>
    <xf numFmtId="0" fontId="19" fillId="0" borderId="13" xfId="0" applyFont="1" applyBorder="1" applyAlignment="1" applyProtection="1">
      <alignment horizontal="right"/>
      <protection hidden="1"/>
    </xf>
    <xf numFmtId="44" fontId="2" fillId="9" borderId="46" xfId="0" applyNumberFormat="1" applyFont="1" applyFill="1" applyBorder="1" applyAlignment="1" applyProtection="1">
      <alignment horizontal="center"/>
      <protection hidden="1"/>
    </xf>
    <xf numFmtId="44" fontId="2" fillId="9" borderId="42" xfId="0" applyNumberFormat="1" applyFont="1" applyFill="1" applyBorder="1" applyProtection="1">
      <protection hidden="1"/>
    </xf>
    <xf numFmtId="44" fontId="4" fillId="14" borderId="36" xfId="0" applyNumberFormat="1" applyFont="1" applyFill="1" applyBorder="1" applyProtection="1">
      <protection hidden="1"/>
    </xf>
    <xf numFmtId="44" fontId="4" fillId="14" borderId="42" xfId="0" applyNumberFormat="1" applyFont="1" applyFill="1" applyBorder="1" applyProtection="1">
      <protection hidden="1"/>
    </xf>
    <xf numFmtId="44" fontId="2" fillId="15" borderId="46" xfId="0" applyNumberFormat="1" applyFont="1" applyFill="1" applyBorder="1" applyProtection="1">
      <protection hidden="1"/>
    </xf>
    <xf numFmtId="44" fontId="2" fillId="15" borderId="42" xfId="0" applyNumberFormat="1" applyFont="1" applyFill="1" applyBorder="1" applyProtection="1">
      <protection hidden="1"/>
    </xf>
    <xf numFmtId="44" fontId="4" fillId="16" borderId="36" xfId="0" applyNumberFormat="1" applyFont="1" applyFill="1" applyBorder="1" applyProtection="1">
      <protection hidden="1"/>
    </xf>
    <xf numFmtId="44" fontId="4" fillId="16" borderId="42" xfId="0" applyNumberFormat="1" applyFont="1" applyFill="1" applyBorder="1" applyProtection="1">
      <protection hidden="1"/>
    </xf>
    <xf numFmtId="44" fontId="2" fillId="10" borderId="46" xfId="0" applyNumberFormat="1" applyFont="1" applyFill="1" applyBorder="1" applyProtection="1">
      <protection hidden="1"/>
    </xf>
    <xf numFmtId="44" fontId="2" fillId="10" borderId="42" xfId="0" applyNumberFormat="1" applyFont="1" applyFill="1" applyBorder="1" applyProtection="1">
      <protection hidden="1"/>
    </xf>
    <xf numFmtId="44" fontId="4" fillId="18" borderId="46" xfId="0" applyNumberFormat="1" applyFont="1" applyFill="1" applyBorder="1" applyProtection="1">
      <protection hidden="1"/>
    </xf>
    <xf numFmtId="44" fontId="4" fillId="18" borderId="9" xfId="0" applyNumberFormat="1" applyFont="1" applyFill="1" applyBorder="1" applyProtection="1">
      <protection hidden="1"/>
    </xf>
    <xf numFmtId="44" fontId="0" fillId="9" borderId="17" xfId="0" applyNumberFormat="1" applyFill="1" applyBorder="1" applyAlignment="1" applyProtection="1">
      <alignment horizontal="center"/>
      <protection hidden="1"/>
    </xf>
    <xf numFmtId="44" fontId="0" fillId="9" borderId="9" xfId="0" applyNumberFormat="1" applyFill="1" applyBorder="1" applyProtection="1">
      <protection hidden="1"/>
    </xf>
    <xf numFmtId="44" fontId="4" fillId="14" borderId="8" xfId="0" applyNumberFormat="1" applyFont="1" applyFill="1" applyBorder="1" applyProtection="1">
      <protection hidden="1"/>
    </xf>
    <xf numFmtId="44" fontId="4" fillId="14" borderId="9" xfId="0" applyNumberFormat="1" applyFont="1" applyFill="1" applyBorder="1" applyProtection="1">
      <protection hidden="1"/>
    </xf>
    <xf numFmtId="0" fontId="3" fillId="0" borderId="20" xfId="0" applyFont="1" applyBorder="1" applyAlignment="1" applyProtection="1">
      <alignment horizontal="right"/>
      <protection hidden="1"/>
    </xf>
    <xf numFmtId="44" fontId="0" fillId="15" borderId="17" xfId="0" applyNumberFormat="1" applyFill="1" applyBorder="1" applyProtection="1">
      <protection hidden="1"/>
    </xf>
    <xf numFmtId="44" fontId="4" fillId="16" borderId="8" xfId="0" applyNumberFormat="1" applyFont="1" applyFill="1" applyBorder="1" applyProtection="1">
      <protection hidden="1"/>
    </xf>
    <xf numFmtId="44" fontId="0" fillId="10" borderId="17" xfId="0" applyNumberFormat="1" applyFill="1" applyBorder="1" applyProtection="1">
      <protection hidden="1"/>
    </xf>
    <xf numFmtId="44" fontId="0" fillId="10" borderId="9" xfId="0" applyNumberFormat="1" applyFill="1" applyBorder="1" applyProtection="1">
      <protection hidden="1"/>
    </xf>
    <xf numFmtId="44" fontId="4" fillId="18" borderId="17" xfId="0" applyNumberFormat="1" applyFont="1" applyFill="1" applyBorder="1" applyProtection="1">
      <protection hidden="1"/>
    </xf>
    <xf numFmtId="0" fontId="8" fillId="0" borderId="27" xfId="1" applyBorder="1"/>
    <xf numFmtId="0" fontId="8" fillId="0" borderId="0" xfId="1" applyAlignment="1">
      <alignment horizontal="center"/>
    </xf>
    <xf numFmtId="0" fontId="15" fillId="0" borderId="27" xfId="1" applyFont="1" applyBorder="1" applyProtection="1">
      <protection hidden="1"/>
    </xf>
    <xf numFmtId="0" fontId="8" fillId="11" borderId="47" xfId="1" applyFill="1" applyBorder="1" applyProtection="1">
      <protection hidden="1"/>
    </xf>
    <xf numFmtId="44" fontId="16" fillId="11" borderId="16" xfId="1" applyNumberFormat="1" applyFont="1" applyFill="1" applyBorder="1" applyProtection="1">
      <protection hidden="1"/>
    </xf>
    <xf numFmtId="0" fontId="15" fillId="11" borderId="48" xfId="1" applyFont="1" applyFill="1" applyBorder="1" applyProtection="1">
      <protection hidden="1"/>
    </xf>
    <xf numFmtId="0" fontId="8" fillId="11" borderId="44" xfId="1" applyFill="1" applyBorder="1" applyProtection="1">
      <protection hidden="1"/>
    </xf>
    <xf numFmtId="0" fontId="8" fillId="0" borderId="44" xfId="1" applyBorder="1" applyProtection="1">
      <protection hidden="1"/>
    </xf>
    <xf numFmtId="44" fontId="16" fillId="11" borderId="44" xfId="1" applyNumberFormat="1" applyFont="1" applyFill="1" applyBorder="1" applyProtection="1">
      <protection hidden="1"/>
    </xf>
    <xf numFmtId="0" fontId="18" fillId="0" borderId="27" xfId="1" applyFont="1" applyBorder="1" applyProtection="1">
      <protection hidden="1"/>
    </xf>
    <xf numFmtId="44" fontId="0" fillId="9" borderId="11" xfId="0" applyNumberFormat="1" applyFill="1" applyBorder="1" applyProtection="1">
      <protection hidden="1"/>
    </xf>
    <xf numFmtId="44" fontId="0" fillId="9" borderId="29" xfId="0" applyNumberFormat="1" applyFill="1" applyBorder="1" applyProtection="1">
      <protection hidden="1"/>
    </xf>
    <xf numFmtId="44" fontId="4" fillId="14" borderId="29" xfId="0" applyNumberFormat="1" applyFont="1" applyFill="1" applyBorder="1" applyProtection="1">
      <protection hidden="1"/>
    </xf>
    <xf numFmtId="0" fontId="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3" fillId="2" borderId="0" xfId="0" applyFont="1" applyFill="1"/>
    <xf numFmtId="0" fontId="8" fillId="2" borderId="0" xfId="1" applyFill="1" applyProtection="1">
      <protection hidden="1"/>
    </xf>
    <xf numFmtId="0" fontId="7" fillId="2" borderId="0" xfId="0" applyFont="1" applyFill="1" applyProtection="1">
      <protection hidden="1"/>
    </xf>
    <xf numFmtId="0" fontId="16" fillId="2" borderId="0" xfId="1" applyFont="1" applyFill="1" applyProtection="1">
      <protection hidden="1"/>
    </xf>
    <xf numFmtId="0" fontId="0" fillId="2" borderId="13" xfId="0" applyFill="1" applyBorder="1"/>
    <xf numFmtId="0" fontId="0" fillId="2" borderId="4" xfId="0" applyFill="1" applyBorder="1" applyProtection="1">
      <protection hidden="1"/>
    </xf>
    <xf numFmtId="0" fontId="18" fillId="0" borderId="47" xfId="1" applyFont="1" applyBorder="1" applyProtection="1">
      <protection hidden="1"/>
    </xf>
    <xf numFmtId="0" fontId="8" fillId="8" borderId="16" xfId="1" applyFill="1" applyBorder="1" applyProtection="1">
      <protection hidden="1"/>
    </xf>
    <xf numFmtId="164" fontId="16" fillId="0" borderId="16" xfId="1" applyNumberFormat="1" applyFont="1" applyBorder="1" applyProtection="1">
      <protection hidden="1"/>
    </xf>
    <xf numFmtId="0" fontId="8" fillId="0" borderId="50" xfId="1" applyBorder="1" applyProtection="1">
      <protection hidden="1"/>
    </xf>
    <xf numFmtId="0" fontId="18" fillId="0" borderId="49" xfId="1" applyFont="1" applyBorder="1" applyProtection="1">
      <protection hidden="1"/>
    </xf>
    <xf numFmtId="0" fontId="8" fillId="0" borderId="27" xfId="1" applyBorder="1" applyProtection="1">
      <protection hidden="1"/>
    </xf>
    <xf numFmtId="0" fontId="18" fillId="0" borderId="48" xfId="1" applyFont="1" applyBorder="1" applyProtection="1">
      <protection hidden="1"/>
    </xf>
    <xf numFmtId="0" fontId="16" fillId="0" borderId="44" xfId="1" applyFont="1" applyBorder="1" applyProtection="1">
      <protection hidden="1"/>
    </xf>
    <xf numFmtId="0" fontId="8" fillId="0" borderId="51" xfId="1" applyBorder="1" applyProtection="1">
      <protection hidden="1"/>
    </xf>
    <xf numFmtId="0" fontId="26" fillId="21" borderId="0" xfId="0" applyFont="1" applyFill="1" applyAlignment="1">
      <alignment vertical="center"/>
    </xf>
    <xf numFmtId="0" fontId="3" fillId="21" borderId="0" xfId="0" applyFont="1" applyFill="1"/>
    <xf numFmtId="0" fontId="0" fillId="21" borderId="13" xfId="0" applyFill="1" applyBorder="1"/>
    <xf numFmtId="0" fontId="0" fillId="21" borderId="10" xfId="0" applyFill="1" applyBorder="1" applyProtection="1">
      <protection hidden="1"/>
    </xf>
    <xf numFmtId="0" fontId="16" fillId="21" borderId="0" xfId="1" applyFont="1" applyFill="1" applyProtection="1">
      <protection hidden="1"/>
    </xf>
    <xf numFmtId="0" fontId="0" fillId="21" borderId="4" xfId="0" applyFill="1" applyBorder="1" applyProtection="1">
      <protection hidden="1"/>
    </xf>
    <xf numFmtId="0" fontId="5" fillId="2" borderId="0" xfId="0" applyFont="1" applyFill="1"/>
    <xf numFmtId="0" fontId="3" fillId="2" borderId="4" xfId="0" applyFont="1" applyFill="1" applyBorder="1"/>
    <xf numFmtId="0" fontId="3" fillId="0" borderId="40" xfId="0" applyFont="1" applyBorder="1" applyAlignment="1" applyProtection="1">
      <alignment horizontal="center"/>
      <protection hidden="1"/>
    </xf>
    <xf numFmtId="0" fontId="0" fillId="0" borderId="40" xfId="0" applyBorder="1" applyProtection="1">
      <protection hidden="1"/>
    </xf>
    <xf numFmtId="0" fontId="22" fillId="2" borderId="0" xfId="0" applyFont="1" applyFill="1"/>
    <xf numFmtId="165" fontId="3" fillId="0" borderId="40" xfId="0" applyNumberFormat="1" applyFont="1" applyBorder="1" applyAlignment="1" applyProtection="1">
      <alignment horizontal="left"/>
      <protection hidden="1"/>
    </xf>
    <xf numFmtId="165" fontId="3" fillId="0" borderId="40" xfId="0" applyNumberFormat="1" applyFont="1" applyBorder="1" applyAlignment="1">
      <alignment horizontal="left"/>
    </xf>
    <xf numFmtId="0" fontId="0" fillId="0" borderId="40" xfId="0" applyBorder="1" applyAlignment="1" applyProtection="1">
      <alignment horizontal="left"/>
      <protection hidden="1"/>
    </xf>
    <xf numFmtId="0" fontId="9" fillId="2" borderId="15" xfId="1" applyFont="1" applyFill="1" applyBorder="1" applyAlignment="1">
      <alignment horizontal="center"/>
    </xf>
    <xf numFmtId="0" fontId="33" fillId="2" borderId="50" xfId="0" applyFont="1" applyFill="1" applyBorder="1" applyAlignment="1" applyProtection="1">
      <alignment horizontal="center" vertical="center"/>
      <protection locked="0"/>
    </xf>
    <xf numFmtId="0" fontId="9" fillId="2" borderId="52" xfId="1" applyFont="1" applyFill="1" applyBorder="1" applyAlignment="1">
      <alignment horizontal="center"/>
    </xf>
    <xf numFmtId="0" fontId="33" fillId="2" borderId="51" xfId="0" applyFont="1" applyFill="1" applyBorder="1" applyAlignment="1" applyProtection="1">
      <alignment horizontal="center" vertical="center"/>
      <protection locked="0"/>
    </xf>
    <xf numFmtId="0" fontId="35" fillId="0" borderId="48" xfId="0" applyFont="1" applyBorder="1" applyAlignment="1" applyProtection="1">
      <alignment horizontal="center"/>
      <protection hidden="1"/>
    </xf>
    <xf numFmtId="165" fontId="35" fillId="0" borderId="51" xfId="0" applyNumberFormat="1" applyFont="1" applyBorder="1" applyAlignment="1" applyProtection="1">
      <alignment horizontal="left"/>
      <protection hidden="1"/>
    </xf>
    <xf numFmtId="0" fontId="36" fillId="0" borderId="48" xfId="0" applyFont="1" applyBorder="1" applyAlignment="1" applyProtection="1">
      <alignment horizontal="left"/>
      <protection hidden="1"/>
    </xf>
    <xf numFmtId="0" fontId="36" fillId="0" borderId="48" xfId="0" applyFont="1" applyBorder="1" applyProtection="1">
      <protection hidden="1"/>
    </xf>
    <xf numFmtId="165" fontId="35" fillId="0" borderId="51" xfId="0" applyNumberFormat="1" applyFont="1" applyBorder="1" applyAlignment="1">
      <alignment horizontal="left"/>
    </xf>
    <xf numFmtId="0" fontId="11" fillId="2" borderId="0" xfId="0" applyFont="1" applyFill="1"/>
    <xf numFmtId="0" fontId="11" fillId="2" borderId="0" xfId="0" applyFont="1" applyFill="1" applyAlignment="1">
      <alignment horizontal="left" vertical="center" indent="2"/>
    </xf>
    <xf numFmtId="0" fontId="0" fillId="18" borderId="0" xfId="0" applyFill="1"/>
    <xf numFmtId="0" fontId="38" fillId="18" borderId="0" xfId="0" applyFont="1" applyFill="1" applyAlignment="1">
      <alignment horizontal="left" vertical="center" indent="2"/>
    </xf>
    <xf numFmtId="0" fontId="0" fillId="18" borderId="0" xfId="0" applyFill="1" applyProtection="1">
      <protection hidden="1"/>
    </xf>
    <xf numFmtId="0" fontId="0" fillId="18" borderId="4" xfId="0" applyFill="1" applyBorder="1" applyProtection="1">
      <protection hidden="1"/>
    </xf>
    <xf numFmtId="0" fontId="8" fillId="18" borderId="0" xfId="1" applyFill="1"/>
    <xf numFmtId="0" fontId="8" fillId="18" borderId="0" xfId="1" applyFill="1" applyProtection="1">
      <protection hidden="1"/>
    </xf>
    <xf numFmtId="0" fontId="3" fillId="18" borderId="40" xfId="0" applyFont="1" applyFill="1" applyBorder="1" applyAlignment="1" applyProtection="1">
      <alignment horizontal="center"/>
      <protection hidden="1"/>
    </xf>
    <xf numFmtId="165" fontId="3" fillId="18" borderId="40" xfId="0" applyNumberFormat="1" applyFont="1" applyFill="1" applyBorder="1" applyAlignment="1" applyProtection="1">
      <alignment horizontal="left"/>
      <protection hidden="1"/>
    </xf>
    <xf numFmtId="0" fontId="16" fillId="18" borderId="0" xfId="1" applyFont="1" applyFill="1" applyProtection="1">
      <protection hidden="1"/>
    </xf>
    <xf numFmtId="0" fontId="0" fillId="18" borderId="40" xfId="0" applyFill="1" applyBorder="1" applyAlignment="1" applyProtection="1">
      <alignment horizontal="left"/>
      <protection hidden="1"/>
    </xf>
    <xf numFmtId="0" fontId="0" fillId="18" borderId="40" xfId="0" applyFill="1" applyBorder="1" applyProtection="1">
      <protection hidden="1"/>
    </xf>
    <xf numFmtId="165" fontId="3" fillId="18" borderId="40" xfId="0" applyNumberFormat="1" applyFont="1" applyFill="1" applyBorder="1" applyAlignment="1">
      <alignment horizontal="left"/>
    </xf>
    <xf numFmtId="0" fontId="6" fillId="18" borderId="0" xfId="0" applyFont="1" applyFill="1" applyAlignment="1">
      <alignment horizontal="center" vertical="center"/>
    </xf>
    <xf numFmtId="0" fontId="26" fillId="18" borderId="0" xfId="0" applyFont="1" applyFill="1" applyAlignment="1">
      <alignment vertical="center"/>
    </xf>
    <xf numFmtId="0" fontId="3" fillId="18" borderId="0" xfId="0" applyFont="1" applyFill="1"/>
    <xf numFmtId="0" fontId="7" fillId="18" borderId="0" xfId="0" applyFont="1" applyFill="1" applyProtection="1">
      <protection hidden="1"/>
    </xf>
    <xf numFmtId="0" fontId="0" fillId="18" borderId="10" xfId="0" applyFill="1" applyBorder="1" applyProtection="1">
      <protection hidden="1"/>
    </xf>
    <xf numFmtId="0" fontId="0" fillId="18" borderId="13" xfId="0" applyFill="1" applyBorder="1"/>
    <xf numFmtId="0" fontId="39" fillId="21" borderId="0" xfId="0" applyFont="1" applyFill="1" applyAlignment="1">
      <alignment horizontal="left" vertical="center" indent="2"/>
    </xf>
    <xf numFmtId="0" fontId="32" fillId="2" borderId="0" xfId="1" applyFont="1" applyFill="1"/>
    <xf numFmtId="0" fontId="9" fillId="2" borderId="0" xfId="1" applyFont="1" applyFill="1" applyProtection="1">
      <protection hidden="1"/>
    </xf>
    <xf numFmtId="0" fontId="3" fillId="2" borderId="0" xfId="0" applyFont="1" applyFill="1" applyProtection="1">
      <protection hidden="1"/>
    </xf>
    <xf numFmtId="0" fontId="3" fillId="21" borderId="0" xfId="0" applyFont="1" applyFill="1" applyProtection="1">
      <protection hidden="1"/>
    </xf>
    <xf numFmtId="0" fontId="3" fillId="18" borderId="0" xfId="0" applyFont="1" applyFill="1" applyProtection="1">
      <protection hidden="1"/>
    </xf>
    <xf numFmtId="0" fontId="11" fillId="18" borderId="0" xfId="0" applyFont="1" applyFill="1" applyAlignment="1">
      <alignment horizontal="left" vertical="center" indent="2"/>
    </xf>
    <xf numFmtId="0" fontId="11" fillId="18" borderId="0" xfId="0" applyFont="1" applyFill="1"/>
    <xf numFmtId="0" fontId="11" fillId="21" borderId="0" xfId="0" applyFont="1" applyFill="1" applyAlignment="1">
      <alignment horizontal="left" vertical="center" indent="2"/>
    </xf>
    <xf numFmtId="0" fontId="11" fillId="21" borderId="0" xfId="0" applyFont="1" applyFill="1"/>
    <xf numFmtId="0" fontId="32" fillId="21" borderId="0" xfId="1" applyFont="1" applyFill="1"/>
    <xf numFmtId="0" fontId="32" fillId="18" borderId="0" xfId="1" applyFont="1" applyFill="1"/>
    <xf numFmtId="0" fontId="5" fillId="18" borderId="0" xfId="0" applyFont="1" applyFill="1"/>
    <xf numFmtId="0" fontId="3" fillId="18" borderId="4" xfId="0" applyFont="1" applyFill="1" applyBorder="1"/>
    <xf numFmtId="0" fontId="5" fillId="21" borderId="0" xfId="0" applyFont="1" applyFill="1"/>
    <xf numFmtId="0" fontId="3" fillId="21" borderId="4" xfId="0" applyFont="1" applyFill="1" applyBorder="1"/>
    <xf numFmtId="0" fontId="9" fillId="21" borderId="0" xfId="1" applyFont="1" applyFill="1" applyProtection="1">
      <protection hidden="1"/>
    </xf>
    <xf numFmtId="0" fontId="9" fillId="18" borderId="0" xfId="1" applyFont="1" applyFill="1" applyProtection="1">
      <protection hidden="1"/>
    </xf>
    <xf numFmtId="44" fontId="10" fillId="3" borderId="35" xfId="0" applyNumberFormat="1" applyFont="1" applyFill="1" applyBorder="1" applyAlignment="1" applyProtection="1">
      <alignment horizontal="center"/>
      <protection hidden="1"/>
    </xf>
    <xf numFmtId="44" fontId="27" fillId="9" borderId="35" xfId="0" applyNumberFormat="1" applyFont="1" applyFill="1" applyBorder="1" applyProtection="1">
      <protection hidden="1"/>
    </xf>
    <xf numFmtId="44" fontId="27" fillId="10" borderId="54" xfId="0" applyNumberFormat="1" applyFont="1" applyFill="1" applyBorder="1" applyProtection="1">
      <protection hidden="1"/>
    </xf>
    <xf numFmtId="0" fontId="0" fillId="0" borderId="27" xfId="0" applyBorder="1" applyProtection="1">
      <protection hidden="1"/>
    </xf>
    <xf numFmtId="0" fontId="0" fillId="4" borderId="10" xfId="0" applyFill="1" applyBorder="1" applyProtection="1">
      <protection hidden="1"/>
    </xf>
    <xf numFmtId="44" fontId="4" fillId="6" borderId="0" xfId="0" applyNumberFormat="1" applyFont="1" applyFill="1" applyProtection="1">
      <protection hidden="1"/>
    </xf>
    <xf numFmtId="44" fontId="4" fillId="6" borderId="14" xfId="0" applyNumberFormat="1" applyFont="1" applyFill="1" applyBorder="1" applyProtection="1">
      <protection hidden="1"/>
    </xf>
    <xf numFmtId="0" fontId="4" fillId="6" borderId="14" xfId="0" applyFont="1" applyFill="1" applyBorder="1" applyProtection="1">
      <protection hidden="1"/>
    </xf>
    <xf numFmtId="0" fontId="1" fillId="6" borderId="14" xfId="0" applyFont="1" applyFill="1" applyBorder="1" applyProtection="1">
      <protection hidden="1"/>
    </xf>
    <xf numFmtId="0" fontId="0" fillId="19" borderId="14" xfId="0" applyFill="1" applyBorder="1"/>
    <xf numFmtId="0" fontId="4" fillId="6" borderId="14" xfId="0" applyFont="1" applyFill="1" applyBorder="1" applyAlignment="1" applyProtection="1">
      <alignment horizontal="center"/>
      <protection hidden="1"/>
    </xf>
    <xf numFmtId="44" fontId="4" fillId="6" borderId="19" xfId="0" applyNumberFormat="1" applyFont="1" applyFill="1" applyBorder="1" applyProtection="1">
      <protection hidden="1"/>
    </xf>
    <xf numFmtId="44" fontId="14" fillId="6" borderId="54" xfId="0" applyNumberFormat="1" applyFont="1" applyFill="1" applyBorder="1" applyProtection="1">
      <protection hidden="1"/>
    </xf>
    <xf numFmtId="0" fontId="3" fillId="5" borderId="6" xfId="0" applyFont="1" applyFill="1" applyBorder="1" applyAlignment="1" applyProtection="1">
      <alignment horizontal="center"/>
      <protection hidden="1"/>
    </xf>
    <xf numFmtId="0" fontId="0" fillId="5" borderId="12" xfId="0" applyFill="1" applyBorder="1" applyAlignment="1" applyProtection="1">
      <alignment horizontal="center"/>
      <protection hidden="1"/>
    </xf>
    <xf numFmtId="44" fontId="0" fillId="5" borderId="13" xfId="0" applyNumberFormat="1" applyFill="1" applyBorder="1" applyProtection="1">
      <protection hidden="1"/>
    </xf>
    <xf numFmtId="0" fontId="3" fillId="5" borderId="13" xfId="0" applyFont="1" applyFill="1" applyBorder="1" applyAlignment="1" applyProtection="1">
      <alignment horizontal="center"/>
      <protection hidden="1"/>
    </xf>
    <xf numFmtId="0" fontId="0" fillId="5" borderId="14" xfId="0" applyFill="1" applyBorder="1" applyProtection="1">
      <protection hidden="1"/>
    </xf>
    <xf numFmtId="0" fontId="0" fillId="5" borderId="13" xfId="0" applyFill="1" applyBorder="1" applyProtection="1">
      <protection hidden="1"/>
    </xf>
    <xf numFmtId="44" fontId="0" fillId="5" borderId="14" xfId="0" applyNumberFormat="1" applyFill="1" applyBorder="1" applyProtection="1">
      <protection hidden="1"/>
    </xf>
    <xf numFmtId="44" fontId="4" fillId="6" borderId="35" xfId="0" applyNumberFormat="1" applyFont="1" applyFill="1" applyBorder="1" applyProtection="1">
      <protection hidden="1"/>
    </xf>
    <xf numFmtId="44" fontId="4" fillId="6" borderId="25" xfId="0" applyNumberFormat="1" applyFont="1" applyFill="1" applyBorder="1" applyProtection="1">
      <protection hidden="1"/>
    </xf>
    <xf numFmtId="44" fontId="0" fillId="15" borderId="29" xfId="0" applyNumberFormat="1" applyFill="1" applyBorder="1" applyAlignment="1" applyProtection="1">
      <alignment horizontal="center"/>
      <protection hidden="1"/>
    </xf>
    <xf numFmtId="44" fontId="0" fillId="10" borderId="29" xfId="0" applyNumberFormat="1" applyFill="1" applyBorder="1" applyAlignment="1" applyProtection="1">
      <alignment horizontal="center"/>
      <protection hidden="1"/>
    </xf>
    <xf numFmtId="44" fontId="4" fillId="6" borderId="27" xfId="0" applyNumberFormat="1" applyFont="1" applyFill="1" applyBorder="1" applyProtection="1">
      <protection hidden="1"/>
    </xf>
    <xf numFmtId="44" fontId="28" fillId="15" borderId="29" xfId="0" applyNumberFormat="1" applyFont="1" applyFill="1" applyBorder="1" applyAlignment="1" applyProtection="1">
      <alignment horizontal="center"/>
      <protection hidden="1"/>
    </xf>
    <xf numFmtId="44" fontId="4" fillId="16" borderId="29" xfId="0" applyNumberFormat="1" applyFont="1" applyFill="1" applyBorder="1" applyAlignment="1" applyProtection="1">
      <alignment horizontal="center"/>
      <protection hidden="1"/>
    </xf>
    <xf numFmtId="0" fontId="8" fillId="22" borderId="27" xfId="1" applyFill="1" applyBorder="1"/>
    <xf numFmtId="0" fontId="8" fillId="22" borderId="0" xfId="1" applyFill="1"/>
    <xf numFmtId="0" fontId="8" fillId="22" borderId="0" xfId="1" applyFill="1" applyAlignment="1">
      <alignment horizontal="center"/>
    </xf>
    <xf numFmtId="0" fontId="15" fillId="22" borderId="27" xfId="1" applyFont="1" applyFill="1" applyBorder="1" applyProtection="1">
      <protection hidden="1"/>
    </xf>
    <xf numFmtId="0" fontId="8" fillId="22" borderId="0" xfId="1" applyFill="1" applyProtection="1">
      <protection hidden="1"/>
    </xf>
    <xf numFmtId="44" fontId="16" fillId="22" borderId="0" xfId="2" applyFont="1" applyFill="1" applyAlignment="1" applyProtection="1">
      <alignment horizontal="left"/>
      <protection hidden="1"/>
    </xf>
    <xf numFmtId="44" fontId="16" fillId="22" borderId="0" xfId="2" applyFont="1" applyFill="1" applyAlignment="1" applyProtection="1">
      <alignment horizontal="right"/>
      <protection hidden="1"/>
    </xf>
    <xf numFmtId="44" fontId="16" fillId="22" borderId="0" xfId="2" applyFont="1" applyFill="1" applyProtection="1">
      <protection hidden="1"/>
    </xf>
    <xf numFmtId="0" fontId="8" fillId="22" borderId="47" xfId="1" applyFill="1" applyBorder="1" applyProtection="1">
      <protection hidden="1"/>
    </xf>
    <xf numFmtId="0" fontId="8" fillId="22" borderId="16" xfId="1" applyFill="1" applyBorder="1" applyProtection="1">
      <protection hidden="1"/>
    </xf>
    <xf numFmtId="44" fontId="16" fillId="22" borderId="16" xfId="1" applyNumberFormat="1" applyFont="1" applyFill="1" applyBorder="1" applyProtection="1">
      <protection hidden="1"/>
    </xf>
    <xf numFmtId="0" fontId="8" fillId="22" borderId="50" xfId="1" applyFill="1" applyBorder="1" applyProtection="1">
      <protection hidden="1"/>
    </xf>
    <xf numFmtId="0" fontId="15" fillId="22" borderId="48" xfId="1" applyFont="1" applyFill="1" applyBorder="1" applyProtection="1">
      <protection hidden="1"/>
    </xf>
    <xf numFmtId="44" fontId="16" fillId="22" borderId="0" xfId="1" applyNumberFormat="1" applyFont="1" applyFill="1" applyProtection="1">
      <protection hidden="1"/>
    </xf>
    <xf numFmtId="0" fontId="8" fillId="22" borderId="27" xfId="1" applyFill="1" applyBorder="1" applyProtection="1">
      <protection hidden="1"/>
    </xf>
    <xf numFmtId="164" fontId="16" fillId="22" borderId="0" xfId="1" applyNumberFormat="1" applyFont="1" applyFill="1" applyProtection="1">
      <protection hidden="1"/>
    </xf>
    <xf numFmtId="0" fontId="8" fillId="22" borderId="52" xfId="1" applyFill="1" applyBorder="1" applyProtection="1">
      <protection hidden="1"/>
    </xf>
    <xf numFmtId="0" fontId="16" fillId="22" borderId="44" xfId="1" applyFont="1" applyFill="1" applyBorder="1" applyProtection="1">
      <protection hidden="1"/>
    </xf>
    <xf numFmtId="0" fontId="8" fillId="22" borderId="51" xfId="1" applyFill="1" applyBorder="1" applyProtection="1">
      <protection hidden="1"/>
    </xf>
    <xf numFmtId="0" fontId="18" fillId="22" borderId="27" xfId="1" applyFont="1" applyFill="1" applyBorder="1" applyProtection="1">
      <protection hidden="1"/>
    </xf>
    <xf numFmtId="165" fontId="0" fillId="2" borderId="0" xfId="0" applyNumberFormat="1" applyFill="1"/>
    <xf numFmtId="2" fontId="0" fillId="19" borderId="0" xfId="0" applyNumberFormat="1" applyFill="1" applyAlignment="1">
      <alignment horizontal="left"/>
    </xf>
    <xf numFmtId="0" fontId="0" fillId="19" borderId="40" xfId="0" applyFill="1" applyBorder="1"/>
    <xf numFmtId="2" fontId="0" fillId="19" borderId="40" xfId="0" applyNumberFormat="1" applyFill="1" applyBorder="1" applyAlignment="1">
      <alignment horizontal="left"/>
    </xf>
    <xf numFmtId="0" fontId="3" fillId="19" borderId="40" xfId="0" applyFont="1" applyFill="1" applyBorder="1"/>
    <xf numFmtId="2" fontId="0" fillId="19" borderId="40" xfId="0" applyNumberFormat="1" applyFill="1" applyBorder="1"/>
    <xf numFmtId="0" fontId="13" fillId="10" borderId="1" xfId="0" applyFont="1" applyFill="1" applyBorder="1" applyAlignment="1" applyProtection="1">
      <alignment horizontal="center"/>
      <protection hidden="1"/>
    </xf>
    <xf numFmtId="0" fontId="13" fillId="10" borderId="3" xfId="0" applyFont="1" applyFill="1" applyBorder="1" applyAlignment="1" applyProtection="1">
      <alignment horizontal="center"/>
      <protection hidden="1"/>
    </xf>
    <xf numFmtId="0" fontId="14" fillId="18" borderId="1" xfId="0" applyFont="1" applyFill="1" applyBorder="1" applyAlignment="1" applyProtection="1">
      <alignment horizontal="center"/>
      <protection hidden="1"/>
    </xf>
    <xf numFmtId="0" fontId="14" fillId="18" borderId="2" xfId="0" applyFont="1" applyFill="1" applyBorder="1" applyAlignment="1" applyProtection="1">
      <alignment horizontal="center"/>
      <protection hidden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11" fillId="12" borderId="1" xfId="0" applyFont="1" applyFill="1" applyBorder="1" applyAlignment="1" applyProtection="1">
      <alignment horizontal="center"/>
      <protection hidden="1"/>
    </xf>
    <xf numFmtId="0" fontId="11" fillId="12" borderId="2" xfId="0" applyFont="1" applyFill="1" applyBorder="1" applyAlignment="1" applyProtection="1">
      <alignment horizontal="center"/>
      <protection hidden="1"/>
    </xf>
    <xf numFmtId="0" fontId="11" fillId="12" borderId="3" xfId="0" applyFont="1" applyFill="1" applyBorder="1" applyAlignment="1" applyProtection="1">
      <alignment horizontal="center"/>
      <protection hidden="1"/>
    </xf>
    <xf numFmtId="0" fontId="11" fillId="13" borderId="1" xfId="0" applyFont="1" applyFill="1" applyBorder="1" applyAlignment="1" applyProtection="1">
      <alignment horizontal="center"/>
      <protection hidden="1"/>
    </xf>
    <xf numFmtId="0" fontId="11" fillId="13" borderId="2" xfId="0" applyFont="1" applyFill="1" applyBorder="1" applyAlignment="1" applyProtection="1">
      <alignment horizontal="center"/>
      <protection hidden="1"/>
    </xf>
    <xf numFmtId="0" fontId="11" fillId="13" borderId="3" xfId="0" applyFont="1" applyFill="1" applyBorder="1" applyAlignment="1" applyProtection="1">
      <alignment horizontal="center"/>
      <protection hidden="1"/>
    </xf>
    <xf numFmtId="0" fontId="11" fillId="17" borderId="1" xfId="0" applyFont="1" applyFill="1" applyBorder="1" applyAlignment="1" applyProtection="1">
      <alignment horizontal="center"/>
      <protection hidden="1"/>
    </xf>
    <xf numFmtId="0" fontId="11" fillId="17" borderId="2" xfId="0" applyFont="1" applyFill="1" applyBorder="1" applyAlignment="1" applyProtection="1">
      <alignment horizontal="center"/>
      <protection hidden="1"/>
    </xf>
    <xf numFmtId="0" fontId="17" fillId="0" borderId="40" xfId="0" applyFont="1" applyBorder="1" applyAlignment="1" applyProtection="1">
      <alignment horizontal="center"/>
      <protection hidden="1"/>
    </xf>
    <xf numFmtId="0" fontId="13" fillId="9" borderId="1" xfId="0" applyFont="1" applyFill="1" applyBorder="1" applyAlignment="1" applyProtection="1">
      <alignment horizontal="center"/>
      <protection hidden="1"/>
    </xf>
    <xf numFmtId="0" fontId="13" fillId="9" borderId="3" xfId="0" applyFont="1" applyFill="1" applyBorder="1" applyAlignment="1" applyProtection="1">
      <alignment horizontal="center"/>
      <protection hidden="1"/>
    </xf>
    <xf numFmtId="0" fontId="14" fillId="14" borderId="1" xfId="0" applyFont="1" applyFill="1" applyBorder="1" applyAlignment="1" applyProtection="1">
      <alignment horizontal="center"/>
      <protection hidden="1"/>
    </xf>
    <xf numFmtId="0" fontId="14" fillId="14" borderId="2" xfId="0" applyFont="1" applyFill="1" applyBorder="1" applyAlignment="1" applyProtection="1">
      <alignment horizontal="center"/>
      <protection hidden="1"/>
    </xf>
    <xf numFmtId="0" fontId="13" fillId="15" borderId="1" xfId="0" applyFont="1" applyFill="1" applyBorder="1" applyAlignment="1" applyProtection="1">
      <alignment horizontal="center"/>
      <protection hidden="1"/>
    </xf>
    <xf numFmtId="0" fontId="13" fillId="15" borderId="3" xfId="0" applyFont="1" applyFill="1" applyBorder="1" applyAlignment="1" applyProtection="1">
      <alignment horizontal="center"/>
      <protection hidden="1"/>
    </xf>
    <xf numFmtId="0" fontId="14" fillId="16" borderId="1" xfId="0" applyFont="1" applyFill="1" applyBorder="1" applyAlignment="1" applyProtection="1">
      <alignment horizontal="center"/>
      <protection hidden="1"/>
    </xf>
    <xf numFmtId="0" fontId="14" fillId="16" borderId="3" xfId="0" applyFont="1" applyFill="1" applyBorder="1" applyAlignment="1" applyProtection="1">
      <alignment horizontal="center"/>
      <protection hidden="1"/>
    </xf>
    <xf numFmtId="0" fontId="17" fillId="18" borderId="40" xfId="0" applyFont="1" applyFill="1" applyBorder="1" applyAlignment="1" applyProtection="1">
      <alignment horizontal="center"/>
      <protection hidden="1"/>
    </xf>
    <xf numFmtId="0" fontId="34" fillId="0" borderId="34" xfId="0" applyFont="1" applyBorder="1" applyAlignment="1" applyProtection="1">
      <alignment horizontal="center"/>
      <protection hidden="1"/>
    </xf>
    <xf numFmtId="0" fontId="34" fillId="0" borderId="53" xfId="0" applyFont="1" applyBorder="1" applyAlignment="1" applyProtection="1">
      <alignment horizontal="center"/>
      <protection hidden="1"/>
    </xf>
    <xf numFmtId="0" fontId="11" fillId="3" borderId="1" xfId="0" applyFont="1" applyFill="1" applyBorder="1" applyAlignment="1" applyProtection="1">
      <alignment horizontal="center"/>
      <protection hidden="1"/>
    </xf>
    <xf numFmtId="0" fontId="11" fillId="3" borderId="2" xfId="0" applyFont="1" applyFill="1" applyBorder="1" applyAlignment="1" applyProtection="1">
      <alignment horizontal="center"/>
      <protection hidden="1"/>
    </xf>
    <xf numFmtId="0" fontId="25" fillId="10" borderId="2" xfId="0" applyFont="1" applyFill="1" applyBorder="1" applyAlignment="1" applyProtection="1">
      <alignment horizontal="center"/>
      <protection hidden="1"/>
    </xf>
    <xf numFmtId="0" fontId="25" fillId="10" borderId="3" xfId="0" applyFont="1" applyFill="1" applyBorder="1" applyAlignment="1" applyProtection="1">
      <alignment horizontal="center"/>
      <protection hidden="1"/>
    </xf>
    <xf numFmtId="0" fontId="13" fillId="3" borderId="1" xfId="0" applyFont="1" applyFill="1" applyBorder="1" applyAlignment="1" applyProtection="1">
      <alignment horizontal="center"/>
      <protection hidden="1"/>
    </xf>
    <xf numFmtId="0" fontId="13" fillId="3" borderId="2" xfId="0" applyFont="1" applyFill="1" applyBorder="1" applyAlignment="1" applyProtection="1">
      <alignment horizontal="center"/>
      <protection hidden="1"/>
    </xf>
    <xf numFmtId="0" fontId="27" fillId="9" borderId="1" xfId="0" applyFont="1" applyFill="1" applyBorder="1" applyAlignment="1" applyProtection="1">
      <alignment horizontal="center"/>
      <protection hidden="1"/>
    </xf>
    <xf numFmtId="0" fontId="27" fillId="9" borderId="2" xfId="0" applyFont="1" applyFill="1" applyBorder="1" applyAlignment="1" applyProtection="1">
      <alignment horizontal="center"/>
      <protection hidden="1"/>
    </xf>
    <xf numFmtId="0" fontId="27" fillId="9" borderId="3" xfId="0" applyFont="1" applyFill="1" applyBorder="1" applyAlignment="1" applyProtection="1">
      <alignment horizontal="center"/>
      <protection hidden="1"/>
    </xf>
    <xf numFmtId="0" fontId="13" fillId="15" borderId="2" xfId="0" applyFont="1" applyFill="1" applyBorder="1" applyAlignment="1" applyProtection="1">
      <alignment horizontal="center"/>
      <protection hidden="1"/>
    </xf>
    <xf numFmtId="0" fontId="27" fillId="10" borderId="2" xfId="0" applyFont="1" applyFill="1" applyBorder="1" applyAlignment="1" applyProtection="1">
      <alignment horizontal="center"/>
      <protection hidden="1"/>
    </xf>
    <xf numFmtId="0" fontId="27" fillId="10" borderId="3" xfId="0" applyFont="1" applyFill="1" applyBorder="1" applyAlignment="1" applyProtection="1">
      <alignment horizontal="center"/>
      <protection hidden="1"/>
    </xf>
    <xf numFmtId="0" fontId="21" fillId="19" borderId="0" xfId="0" applyFont="1" applyFill="1" applyAlignment="1">
      <alignment horizontal="center" vertical="center"/>
    </xf>
    <xf numFmtId="0" fontId="11" fillId="3" borderId="3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11" fillId="13" borderId="5" xfId="0" applyFont="1" applyFill="1" applyBorder="1" applyAlignment="1" applyProtection="1">
      <alignment horizontal="center"/>
      <protection hidden="1"/>
    </xf>
    <xf numFmtId="0" fontId="13" fillId="10" borderId="2" xfId="0" applyFont="1" applyFill="1" applyBorder="1" applyAlignment="1" applyProtection="1">
      <alignment horizontal="center"/>
      <protection hidden="1"/>
    </xf>
    <xf numFmtId="0" fontId="14" fillId="18" borderId="3" xfId="0" applyFont="1" applyFill="1" applyBorder="1" applyAlignment="1" applyProtection="1">
      <alignment horizontal="center"/>
      <protection hidden="1"/>
    </xf>
    <xf numFmtId="0" fontId="10" fillId="9" borderId="1" xfId="0" applyFont="1" applyFill="1" applyBorder="1" applyAlignment="1" applyProtection="1">
      <alignment horizontal="center"/>
      <protection hidden="1"/>
    </xf>
    <xf numFmtId="0" fontId="10" fillId="9" borderId="2" xfId="0" applyFont="1" applyFill="1" applyBorder="1" applyAlignment="1" applyProtection="1">
      <alignment horizontal="center"/>
      <protection hidden="1"/>
    </xf>
    <xf numFmtId="0" fontId="10" fillId="9" borderId="3" xfId="0" applyFont="1" applyFill="1" applyBorder="1" applyAlignment="1" applyProtection="1">
      <alignment horizontal="center"/>
      <protection hidden="1"/>
    </xf>
    <xf numFmtId="0" fontId="14" fillId="14" borderId="6" xfId="0" applyFont="1" applyFill="1" applyBorder="1" applyAlignment="1" applyProtection="1">
      <alignment horizontal="center"/>
      <protection hidden="1"/>
    </xf>
    <xf numFmtId="0" fontId="14" fillId="14" borderId="4" xfId="0" applyFont="1" applyFill="1" applyBorder="1" applyAlignment="1" applyProtection="1">
      <alignment horizontal="center"/>
      <protection hidden="1"/>
    </xf>
    <xf numFmtId="0" fontId="10" fillId="15" borderId="6" xfId="0" applyFont="1" applyFill="1" applyBorder="1" applyAlignment="1" applyProtection="1">
      <alignment horizontal="center"/>
      <protection hidden="1"/>
    </xf>
    <xf numFmtId="0" fontId="10" fillId="15" borderId="4" xfId="0" applyFont="1" applyFill="1" applyBorder="1" applyAlignment="1" applyProtection="1">
      <alignment horizontal="center"/>
      <protection hidden="1"/>
    </xf>
    <xf numFmtId="0" fontId="10" fillId="15" borderId="7" xfId="0" applyFont="1" applyFill="1" applyBorder="1" applyAlignment="1" applyProtection="1">
      <alignment horizontal="center"/>
      <protection hidden="1"/>
    </xf>
    <xf numFmtId="0" fontId="14" fillId="16" borderId="2" xfId="0" applyFont="1" applyFill="1" applyBorder="1" applyAlignment="1" applyProtection="1">
      <alignment horizontal="center"/>
      <protection hidden="1"/>
    </xf>
    <xf numFmtId="0" fontId="11" fillId="17" borderId="41" xfId="0" applyFont="1" applyFill="1" applyBorder="1" applyAlignment="1" applyProtection="1">
      <alignment horizontal="center"/>
      <protection hidden="1"/>
    </xf>
    <xf numFmtId="0" fontId="11" fillId="17" borderId="5" xfId="0" applyFont="1" applyFill="1" applyBorder="1" applyAlignment="1" applyProtection="1">
      <alignment horizontal="center"/>
      <protection hidden="1"/>
    </xf>
    <xf numFmtId="0" fontId="11" fillId="17" borderId="9" xfId="0" applyFont="1" applyFill="1" applyBorder="1" applyAlignment="1" applyProtection="1">
      <alignment horizontal="center"/>
      <protection hidden="1"/>
    </xf>
    <xf numFmtId="0" fontId="13" fillId="5" borderId="2" xfId="0" applyFont="1" applyFill="1" applyBorder="1" applyAlignment="1">
      <alignment horizontal="center"/>
    </xf>
    <xf numFmtId="0" fontId="11" fillId="17" borderId="8" xfId="0" applyFont="1" applyFill="1" applyBorder="1" applyAlignment="1" applyProtection="1">
      <alignment horizontal="center"/>
      <protection hidden="1"/>
    </xf>
    <xf numFmtId="0" fontId="17" fillId="0" borderId="1" xfId="0" applyFont="1" applyBorder="1" applyAlignment="1" applyProtection="1">
      <alignment horizontal="center"/>
      <protection hidden="1"/>
    </xf>
    <xf numFmtId="0" fontId="17" fillId="0" borderId="38" xfId="0" applyFont="1" applyBorder="1" applyAlignment="1" applyProtection="1">
      <alignment horizontal="center"/>
      <protection hidden="1"/>
    </xf>
    <xf numFmtId="0" fontId="11" fillId="13" borderId="8" xfId="0" applyFont="1" applyFill="1" applyBorder="1" applyAlignment="1" applyProtection="1">
      <alignment horizontal="center"/>
      <protection hidden="1"/>
    </xf>
    <xf numFmtId="0" fontId="11" fillId="13" borderId="9" xfId="0" applyFont="1" applyFill="1" applyBorder="1" applyAlignment="1" applyProtection="1">
      <alignment horizontal="center"/>
      <protection hidden="1"/>
    </xf>
    <xf numFmtId="0" fontId="13" fillId="9" borderId="2" xfId="0" applyFont="1" applyFill="1" applyBorder="1" applyAlignment="1" applyProtection="1">
      <alignment horizontal="center"/>
      <protection hidden="1"/>
    </xf>
    <xf numFmtId="0" fontId="13" fillId="15" borderId="6" xfId="0" applyFont="1" applyFill="1" applyBorder="1" applyAlignment="1" applyProtection="1">
      <alignment horizontal="center"/>
      <protection hidden="1"/>
    </xf>
    <xf numFmtId="0" fontId="13" fillId="15" borderId="4" xfId="0" applyFont="1" applyFill="1" applyBorder="1" applyAlignment="1" applyProtection="1">
      <alignment horizontal="center"/>
      <protection hidden="1"/>
    </xf>
    <xf numFmtId="0" fontId="13" fillId="15" borderId="7" xfId="0" applyFont="1" applyFill="1" applyBorder="1" applyAlignment="1" applyProtection="1">
      <alignment horizontal="center"/>
      <protection hidden="1"/>
    </xf>
  </cellXfs>
  <cellStyles count="53">
    <cellStyle name="Currency 2" xfId="2" xr:uid="{00000000-0005-0000-0000-000000000000}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  <cellStyle name="Normal 2" xfId="1" xr:uid="{00000000-0005-0000-0000-000034000000}"/>
  </cellStyles>
  <dxfs count="2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rgb="FFFFFF0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rgb="FFFFFF0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rgb="FFFFFF0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rgb="FFFFFF0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rgb="FFFFFF0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rgb="FFFFFF0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5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6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C2F1D55A-00BB-BF49-8B2F-D9D4FF77B410}" type="doc">
      <dgm:prSet loTypeId="urn:microsoft.com/office/officeart/2008/layout/IncreasingCircleProcess" loCatId="" qsTypeId="urn:microsoft.com/office/officeart/2005/8/quickstyle/simple4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B2C64979-F3E1-F04E-941A-F1946A6108BA}">
      <dgm:prSet phldrT="[Text]" custT="1"/>
      <dgm:spPr/>
      <dgm:t>
        <a:bodyPr/>
        <a:lstStyle/>
        <a:p>
          <a:r>
            <a:rPr lang="en-US" sz="4000"/>
            <a:t>LEVEL 1</a:t>
          </a:r>
        </a:p>
      </dgm:t>
    </dgm:pt>
    <dgm:pt modelId="{8DFD79DE-113A-BF4B-B053-6352631A164A}" type="parTrans" cxnId="{25348D3F-C99B-2B44-8E65-6C649DB8F47F}">
      <dgm:prSet/>
      <dgm:spPr/>
      <dgm:t>
        <a:bodyPr/>
        <a:lstStyle/>
        <a:p>
          <a:endParaRPr lang="en-US"/>
        </a:p>
      </dgm:t>
    </dgm:pt>
    <dgm:pt modelId="{EB430C93-659B-6C47-8D39-B74A2F593910}" type="sibTrans" cxnId="{25348D3F-C99B-2B44-8E65-6C649DB8F47F}">
      <dgm:prSet/>
      <dgm:spPr/>
      <dgm:t>
        <a:bodyPr/>
        <a:lstStyle/>
        <a:p>
          <a:endParaRPr lang="en-US"/>
        </a:p>
      </dgm:t>
    </dgm:pt>
    <dgm:pt modelId="{EB8A5A89-8231-4B43-8999-2086D0D6E231}">
      <dgm:prSet phldrT="[Text]" custT="1"/>
      <dgm:spPr/>
      <dgm:t>
        <a:bodyPr/>
        <a:lstStyle/>
        <a:p>
          <a:r>
            <a:rPr lang="en-US" sz="2000" b="1"/>
            <a:t>Seven Night Minimum</a:t>
          </a:r>
        </a:p>
      </dgm:t>
    </dgm:pt>
    <dgm:pt modelId="{BD43C7DB-388D-784F-8E15-34CEF6C9622F}" type="parTrans" cxnId="{88EB3006-9393-1848-B72E-089EE74E4140}">
      <dgm:prSet/>
      <dgm:spPr/>
      <dgm:t>
        <a:bodyPr/>
        <a:lstStyle/>
        <a:p>
          <a:endParaRPr lang="en-US"/>
        </a:p>
      </dgm:t>
    </dgm:pt>
    <dgm:pt modelId="{2849273E-06D3-394C-BF44-5DCE7660D0DE}" type="sibTrans" cxnId="{88EB3006-9393-1848-B72E-089EE74E4140}">
      <dgm:prSet/>
      <dgm:spPr/>
      <dgm:t>
        <a:bodyPr/>
        <a:lstStyle/>
        <a:p>
          <a:endParaRPr lang="en-US"/>
        </a:p>
      </dgm:t>
    </dgm:pt>
    <dgm:pt modelId="{43D7E713-3801-4160-B327-8ABE083C58AC}">
      <dgm:prSet custT="1"/>
      <dgm:spPr/>
      <dgm:t>
        <a:bodyPr/>
        <a:lstStyle/>
        <a:p>
          <a:r>
            <a:rPr lang="en-US" sz="2000" b="1"/>
            <a:t>Five Days Morning Two Tank Boat Dive</a:t>
          </a:r>
        </a:p>
      </dgm:t>
    </dgm:pt>
    <dgm:pt modelId="{EF1692FA-3409-482A-BDD9-59C008BEDB24}" type="parTrans" cxnId="{3026FF39-A765-4C56-A936-5100AA92941E}">
      <dgm:prSet/>
      <dgm:spPr/>
      <dgm:t>
        <a:bodyPr/>
        <a:lstStyle/>
        <a:p>
          <a:endParaRPr lang="en-US"/>
        </a:p>
      </dgm:t>
    </dgm:pt>
    <dgm:pt modelId="{38FF26EB-9755-4496-9D99-77D1481475A2}" type="sibTrans" cxnId="{3026FF39-A765-4C56-A936-5100AA92941E}">
      <dgm:prSet/>
      <dgm:spPr/>
      <dgm:t>
        <a:bodyPr/>
        <a:lstStyle/>
        <a:p>
          <a:endParaRPr lang="en-US"/>
        </a:p>
      </dgm:t>
    </dgm:pt>
    <dgm:pt modelId="{7600EEED-B167-4E76-8CB6-6CAF642B83EF}">
      <dgm:prSet custT="1"/>
      <dgm:spPr/>
      <dgm:t>
        <a:bodyPr/>
        <a:lstStyle/>
        <a:p>
          <a:r>
            <a:rPr lang="en-US" sz="2000" b="1"/>
            <a:t>Reflects a 20% discount off Room and Dive only</a:t>
          </a:r>
        </a:p>
      </dgm:t>
    </dgm:pt>
    <dgm:pt modelId="{F5846E68-53BF-492C-AF59-8239ABE5F3B6}" type="parTrans" cxnId="{763AA705-BF36-4CCA-9FDC-94B0C1FC2E3C}">
      <dgm:prSet/>
      <dgm:spPr/>
      <dgm:t>
        <a:bodyPr/>
        <a:lstStyle/>
        <a:p>
          <a:endParaRPr lang="en-US"/>
        </a:p>
      </dgm:t>
    </dgm:pt>
    <dgm:pt modelId="{56BDD546-F9AE-4B58-93B1-1EF55B5086F6}" type="sibTrans" cxnId="{763AA705-BF36-4CCA-9FDC-94B0C1FC2E3C}">
      <dgm:prSet/>
      <dgm:spPr/>
      <dgm:t>
        <a:bodyPr/>
        <a:lstStyle/>
        <a:p>
          <a:endParaRPr lang="en-US"/>
        </a:p>
      </dgm:t>
    </dgm:pt>
    <dgm:pt modelId="{E848CE54-CA21-425F-9C68-A4F68298FD31}">
      <dgm:prSet custT="1"/>
      <dgm:spPr/>
      <dgm:t>
        <a:bodyPr/>
        <a:lstStyle/>
        <a:p>
          <a:r>
            <a:rPr lang="en-US" sz="2000" b="1"/>
            <a:t>9:1  - 14:2 Comp Spot</a:t>
          </a:r>
        </a:p>
      </dgm:t>
    </dgm:pt>
    <dgm:pt modelId="{1E08D4C8-C29C-448B-9A94-5FF1E5052D68}" type="parTrans" cxnId="{F19D8B52-DADB-47CF-8648-4B01C77B3EDA}">
      <dgm:prSet/>
      <dgm:spPr/>
      <dgm:t>
        <a:bodyPr/>
        <a:lstStyle/>
        <a:p>
          <a:endParaRPr lang="en-US"/>
        </a:p>
      </dgm:t>
    </dgm:pt>
    <dgm:pt modelId="{E2098377-0815-4F68-87E6-D83656E74438}" type="sibTrans" cxnId="{F19D8B52-DADB-47CF-8648-4B01C77B3EDA}">
      <dgm:prSet/>
      <dgm:spPr/>
      <dgm:t>
        <a:bodyPr/>
        <a:lstStyle/>
        <a:p>
          <a:endParaRPr lang="en-US"/>
        </a:p>
      </dgm:t>
    </dgm:pt>
    <dgm:pt modelId="{14AF1A96-4E4E-4448-92E0-F72848F32828}">
      <dgm:prSet custT="1"/>
      <dgm:spPr/>
      <dgm:t>
        <a:bodyPr/>
        <a:lstStyle/>
        <a:p>
          <a:r>
            <a:rPr lang="en-US" sz="2000" b="1"/>
            <a:t>Transfers/Breakfast</a:t>
          </a:r>
        </a:p>
      </dgm:t>
    </dgm:pt>
    <dgm:pt modelId="{EE637A70-7488-473D-B99B-803E387317A2}" type="parTrans" cxnId="{65DEB890-CDAB-4241-A685-8A50A19898E1}">
      <dgm:prSet/>
      <dgm:spPr/>
      <dgm:t>
        <a:bodyPr/>
        <a:lstStyle/>
        <a:p>
          <a:endParaRPr lang="en-US"/>
        </a:p>
      </dgm:t>
    </dgm:pt>
    <dgm:pt modelId="{87A2F1EE-35AF-409A-9051-80CB1C4AF0DD}" type="sibTrans" cxnId="{65DEB890-CDAB-4241-A685-8A50A19898E1}">
      <dgm:prSet/>
      <dgm:spPr/>
      <dgm:t>
        <a:bodyPr/>
        <a:lstStyle/>
        <a:p>
          <a:endParaRPr lang="en-US"/>
        </a:p>
      </dgm:t>
    </dgm:pt>
    <dgm:pt modelId="{CE414FF3-0621-4F81-87B2-576A656E1BE5}">
      <dgm:prSet custT="1"/>
      <dgm:spPr/>
      <dgm:t>
        <a:bodyPr/>
        <a:lstStyle/>
        <a:p>
          <a:r>
            <a:rPr lang="en-US" sz="2000" b="1"/>
            <a:t>Tax and Service</a:t>
          </a:r>
        </a:p>
      </dgm:t>
    </dgm:pt>
    <dgm:pt modelId="{F2A87388-4A5A-4059-AF40-E7C1DFA495B3}" type="parTrans" cxnId="{4244259B-95D9-402F-8A2A-A9B839C124F5}">
      <dgm:prSet/>
      <dgm:spPr/>
      <dgm:t>
        <a:bodyPr/>
        <a:lstStyle/>
        <a:p>
          <a:endParaRPr lang="en-US"/>
        </a:p>
      </dgm:t>
    </dgm:pt>
    <dgm:pt modelId="{AA2F593B-8607-47BC-BA20-C1AA3989DB78}" type="sibTrans" cxnId="{4244259B-95D9-402F-8A2A-A9B839C124F5}">
      <dgm:prSet/>
      <dgm:spPr/>
      <dgm:t>
        <a:bodyPr/>
        <a:lstStyle/>
        <a:p>
          <a:endParaRPr lang="en-US"/>
        </a:p>
      </dgm:t>
    </dgm:pt>
    <dgm:pt modelId="{FE510236-C94E-4735-9839-3B6C01F2DF54}">
      <dgm:prSet custT="1"/>
      <dgm:spPr/>
      <dgm:t>
        <a:bodyPr/>
        <a:lstStyle/>
        <a:p>
          <a:endParaRPr lang="en-US" sz="2000" b="1"/>
        </a:p>
      </dgm:t>
    </dgm:pt>
    <dgm:pt modelId="{AC9F95EE-CE50-43AA-8E68-AB2B6A2FE100}" type="parTrans" cxnId="{120C9E33-978F-4251-A838-7C51292A33D9}">
      <dgm:prSet/>
      <dgm:spPr/>
      <dgm:t>
        <a:bodyPr/>
        <a:lstStyle/>
        <a:p>
          <a:endParaRPr lang="en-US"/>
        </a:p>
      </dgm:t>
    </dgm:pt>
    <dgm:pt modelId="{E6B0407E-616A-4AC7-8A06-05B548630BB9}" type="sibTrans" cxnId="{120C9E33-978F-4251-A838-7C51292A33D9}">
      <dgm:prSet/>
      <dgm:spPr/>
      <dgm:t>
        <a:bodyPr/>
        <a:lstStyle/>
        <a:p>
          <a:endParaRPr lang="en-US"/>
        </a:p>
      </dgm:t>
    </dgm:pt>
    <dgm:pt modelId="{CFDE3932-309F-4F28-BAAB-634E9AECA02F}">
      <dgm:prSet custT="1"/>
      <dgm:spPr/>
      <dgm:t>
        <a:bodyPr/>
        <a:lstStyle/>
        <a:p>
          <a:r>
            <a:rPr lang="en-US" sz="2000" b="1"/>
            <a:t>Incentives:</a:t>
          </a:r>
        </a:p>
      </dgm:t>
    </dgm:pt>
    <dgm:pt modelId="{A679AA20-691E-4661-B310-A2ABB2993F0B}" type="parTrans" cxnId="{7B6717AB-D807-4357-927F-A8D33BA5BF5E}">
      <dgm:prSet/>
      <dgm:spPr/>
      <dgm:t>
        <a:bodyPr/>
        <a:lstStyle/>
        <a:p>
          <a:endParaRPr lang="en-US"/>
        </a:p>
      </dgm:t>
    </dgm:pt>
    <dgm:pt modelId="{F48CECBA-34B1-49BB-BDEB-EE3C965B3753}" type="sibTrans" cxnId="{7B6717AB-D807-4357-927F-A8D33BA5BF5E}">
      <dgm:prSet/>
      <dgm:spPr/>
      <dgm:t>
        <a:bodyPr/>
        <a:lstStyle/>
        <a:p>
          <a:endParaRPr lang="en-US"/>
        </a:p>
      </dgm:t>
    </dgm:pt>
    <dgm:pt modelId="{A750BDDF-58CF-4A8A-8A89-7E0E6F8641F9}">
      <dgm:prSet custT="1"/>
      <dgm:spPr/>
      <dgm:t>
        <a:bodyPr/>
        <a:lstStyle/>
        <a:p>
          <a:r>
            <a:rPr lang="en-US" sz="2000" b="1"/>
            <a:t>Group of 16 or more </a:t>
          </a:r>
        </a:p>
      </dgm:t>
    </dgm:pt>
    <dgm:pt modelId="{920973E5-EAA5-4423-8308-31032140681A}" type="parTrans" cxnId="{2545ED60-2E16-4DE7-8862-7E98AB7CC08E}">
      <dgm:prSet/>
      <dgm:spPr/>
      <dgm:t>
        <a:bodyPr/>
        <a:lstStyle/>
        <a:p>
          <a:endParaRPr lang="en-US"/>
        </a:p>
      </dgm:t>
    </dgm:pt>
    <dgm:pt modelId="{6D377884-1EEE-4F3F-AE79-10046E6F74BF}" type="sibTrans" cxnId="{2545ED60-2E16-4DE7-8862-7E98AB7CC08E}">
      <dgm:prSet/>
      <dgm:spPr/>
      <dgm:t>
        <a:bodyPr/>
        <a:lstStyle/>
        <a:p>
          <a:endParaRPr lang="en-US"/>
        </a:p>
      </dgm:t>
    </dgm:pt>
    <dgm:pt modelId="{6B9BC7D8-5CAB-46C7-AF26-7D32EFE19060}">
      <dgm:prSet custT="1"/>
      <dgm:spPr/>
      <dgm:t>
        <a:bodyPr/>
        <a:lstStyle/>
        <a:p>
          <a:r>
            <a:rPr lang="en-US" sz="2000" b="1"/>
            <a:t>Kittiwake (on morning two tank)</a:t>
          </a:r>
        </a:p>
      </dgm:t>
    </dgm:pt>
    <dgm:pt modelId="{26AB22CD-02C2-46BE-BEE4-55422CC7744E}" type="parTrans" cxnId="{4C64652D-EB49-4A34-BD53-FEC57C874D13}">
      <dgm:prSet/>
      <dgm:spPr/>
      <dgm:t>
        <a:bodyPr/>
        <a:lstStyle/>
        <a:p>
          <a:endParaRPr lang="en-US"/>
        </a:p>
      </dgm:t>
    </dgm:pt>
    <dgm:pt modelId="{BBA21E18-6CF6-409B-8535-768BDBAE2FEB}" type="sibTrans" cxnId="{4C64652D-EB49-4A34-BD53-FEC57C874D13}">
      <dgm:prSet/>
      <dgm:spPr/>
      <dgm:t>
        <a:bodyPr/>
        <a:lstStyle/>
        <a:p>
          <a:endParaRPr lang="en-US"/>
        </a:p>
      </dgm:t>
    </dgm:pt>
    <dgm:pt modelId="{4B4B8D93-87A0-483B-A814-E1F2A51106B0}">
      <dgm:prSet custT="1"/>
      <dgm:spPr/>
      <dgm:t>
        <a:bodyPr/>
        <a:lstStyle/>
        <a:p>
          <a:r>
            <a:rPr lang="en-US" sz="2000" b="1"/>
            <a:t>Own Boat</a:t>
          </a:r>
        </a:p>
      </dgm:t>
    </dgm:pt>
    <dgm:pt modelId="{9980EA57-E11B-4D25-8674-BE90BE4AFDB2}" type="parTrans" cxnId="{513298D8-059B-4552-B84F-02F5B23A0C45}">
      <dgm:prSet/>
      <dgm:spPr/>
      <dgm:t>
        <a:bodyPr/>
        <a:lstStyle/>
        <a:p>
          <a:endParaRPr lang="en-US"/>
        </a:p>
      </dgm:t>
    </dgm:pt>
    <dgm:pt modelId="{BF321BCE-6210-46DD-9D03-EE4E36F29CA6}" type="sibTrans" cxnId="{513298D8-059B-4552-B84F-02F5B23A0C45}">
      <dgm:prSet/>
      <dgm:spPr/>
      <dgm:t>
        <a:bodyPr/>
        <a:lstStyle/>
        <a:p>
          <a:endParaRPr lang="en-US"/>
        </a:p>
      </dgm:t>
    </dgm:pt>
    <dgm:pt modelId="{C3ED7803-D180-4445-8005-ED84F2B6AD77}">
      <dgm:prSet custT="1"/>
      <dgm:spPr/>
      <dgm:t>
        <a:bodyPr/>
        <a:lstStyle/>
        <a:p>
          <a:r>
            <a:rPr lang="en-US" sz="2000" b="1"/>
            <a:t>Stingray City (on morning two tank)</a:t>
          </a:r>
        </a:p>
      </dgm:t>
    </dgm:pt>
    <dgm:pt modelId="{195A29C4-EE91-401F-B99E-9ECDD1DAA454}" type="parTrans" cxnId="{858D9D6E-7669-44F3-9B64-ADB5B2721350}">
      <dgm:prSet/>
      <dgm:spPr/>
      <dgm:t>
        <a:bodyPr/>
        <a:lstStyle/>
        <a:p>
          <a:endParaRPr lang="en-US"/>
        </a:p>
      </dgm:t>
    </dgm:pt>
    <dgm:pt modelId="{014457AC-0E5F-46AD-84CC-534AFAA75600}" type="sibTrans" cxnId="{858D9D6E-7669-44F3-9B64-ADB5B2721350}">
      <dgm:prSet/>
      <dgm:spPr/>
      <dgm:t>
        <a:bodyPr/>
        <a:lstStyle/>
        <a:p>
          <a:endParaRPr lang="en-US"/>
        </a:p>
      </dgm:t>
    </dgm:pt>
    <dgm:pt modelId="{97239D97-C75B-4D30-84D8-82341812D3AB}">
      <dgm:prSet custT="1"/>
      <dgm:spPr/>
      <dgm:t>
        <a:bodyPr/>
        <a:lstStyle/>
        <a:p>
          <a:r>
            <a:rPr lang="en-US" sz="2000" b="1"/>
            <a:t>(Kittiwake &amp; Stingray City are weather permitting)</a:t>
          </a:r>
        </a:p>
      </dgm:t>
    </dgm:pt>
    <dgm:pt modelId="{4900AD7C-61F7-437F-8D05-30830D5F5FD2}" type="parTrans" cxnId="{C452CED9-18F1-4AB0-86AA-B2A4B6D26930}">
      <dgm:prSet/>
      <dgm:spPr/>
      <dgm:t>
        <a:bodyPr/>
        <a:lstStyle/>
        <a:p>
          <a:endParaRPr lang="en-GB"/>
        </a:p>
      </dgm:t>
    </dgm:pt>
    <dgm:pt modelId="{5CBDBD4F-2E6B-42E4-9F9C-8F82122AFC04}" type="sibTrans" cxnId="{C452CED9-18F1-4AB0-86AA-B2A4B6D26930}">
      <dgm:prSet/>
      <dgm:spPr/>
      <dgm:t>
        <a:bodyPr/>
        <a:lstStyle/>
        <a:p>
          <a:endParaRPr lang="en-GB"/>
        </a:p>
      </dgm:t>
    </dgm:pt>
    <dgm:pt modelId="{B8B08CA3-4324-5A4E-BCFD-BF0D0749E53A}" type="pres">
      <dgm:prSet presAssocID="{C2F1D55A-00BB-BF49-8B2F-D9D4FF77B410}" presName="Name0" presStyleCnt="0">
        <dgm:presLayoutVars>
          <dgm:chMax val="7"/>
          <dgm:chPref val="7"/>
          <dgm:dir/>
          <dgm:animOne val="branch"/>
          <dgm:animLvl val="lvl"/>
        </dgm:presLayoutVars>
      </dgm:prSet>
      <dgm:spPr/>
    </dgm:pt>
    <dgm:pt modelId="{C087EEA8-4C4C-1843-972C-01AC3B857359}" type="pres">
      <dgm:prSet presAssocID="{B2C64979-F3E1-F04E-941A-F1946A6108BA}" presName="composite" presStyleCnt="0"/>
      <dgm:spPr/>
    </dgm:pt>
    <dgm:pt modelId="{5438F190-3B9F-724D-8C14-2F67C0F19C9A}" type="pres">
      <dgm:prSet presAssocID="{B2C64979-F3E1-F04E-941A-F1946A6108BA}" presName="BackAccent" presStyleLbl="bgShp" presStyleIdx="0" presStyleCnt="1"/>
      <dgm:spPr/>
    </dgm:pt>
    <dgm:pt modelId="{F2C9143E-2B83-2041-BA95-7B46801A87F6}" type="pres">
      <dgm:prSet presAssocID="{B2C64979-F3E1-F04E-941A-F1946A6108BA}" presName="Accent" presStyleLbl="alignNode1" presStyleIdx="0" presStyleCnt="1"/>
      <dgm:spPr>
        <a:solidFill>
          <a:srgbClr val="FFFF00"/>
        </a:solidFill>
      </dgm:spPr>
    </dgm:pt>
    <dgm:pt modelId="{CD402296-035F-434A-A9F1-CBA223EC9B9A}" type="pres">
      <dgm:prSet presAssocID="{B2C64979-F3E1-F04E-941A-F1946A6108BA}" presName="Child" presStyleLbl="revTx" presStyleIdx="0" presStyleCnt="2" custScaleX="174607" custScaleY="121404" custLinFactNeighborX="-9095" custLinFactNeighborY="12816">
        <dgm:presLayoutVars>
          <dgm:chMax val="0"/>
          <dgm:chPref val="0"/>
          <dgm:bulletEnabled val="1"/>
        </dgm:presLayoutVars>
      </dgm:prSet>
      <dgm:spPr/>
    </dgm:pt>
    <dgm:pt modelId="{7A083FDC-E9BB-6440-889D-3774DA820648}" type="pres">
      <dgm:prSet presAssocID="{B2C64979-F3E1-F04E-941A-F1946A6108BA}" presName="Parent" presStyleLbl="revTx" presStyleIdx="1" presStyleCnt="2" custScaleY="51180">
        <dgm:presLayoutVars>
          <dgm:chMax val="1"/>
          <dgm:chPref val="1"/>
          <dgm:bulletEnabled val="1"/>
        </dgm:presLayoutVars>
      </dgm:prSet>
      <dgm:spPr/>
    </dgm:pt>
  </dgm:ptLst>
  <dgm:cxnLst>
    <dgm:cxn modelId="{763AA705-BF36-4CCA-9FDC-94B0C1FC2E3C}" srcId="{B2C64979-F3E1-F04E-941A-F1946A6108BA}" destId="{7600EEED-B167-4E76-8CB6-6CAF642B83EF}" srcOrd="2" destOrd="0" parTransId="{F5846E68-53BF-492C-AF59-8239ABE5F3B6}" sibTransId="{56BDD546-F9AE-4B58-93B1-1EF55B5086F6}"/>
    <dgm:cxn modelId="{88EB3006-9393-1848-B72E-089EE74E4140}" srcId="{B2C64979-F3E1-F04E-941A-F1946A6108BA}" destId="{EB8A5A89-8231-4B43-8999-2086D0D6E231}" srcOrd="0" destOrd="0" parTransId="{BD43C7DB-388D-784F-8E15-34CEF6C9622F}" sibTransId="{2849273E-06D3-394C-BF44-5DCE7660D0DE}"/>
    <dgm:cxn modelId="{B5390C17-0B8C-480A-ADF7-A101C7BF34EE}" type="presOf" srcId="{CE414FF3-0621-4F81-87B2-576A656E1BE5}" destId="{CD402296-035F-434A-A9F1-CBA223EC9B9A}" srcOrd="0" destOrd="5" presId="urn:microsoft.com/office/officeart/2008/layout/IncreasingCircleProcess"/>
    <dgm:cxn modelId="{4C64652D-EB49-4A34-BD53-FEC57C874D13}" srcId="{A750BDDF-58CF-4A8A-8A89-7E0E6F8641F9}" destId="{6B9BC7D8-5CAB-46C7-AF26-7D32EFE19060}" srcOrd="0" destOrd="0" parTransId="{26AB22CD-02C2-46BE-BEE4-55422CC7744E}" sibTransId="{BBA21E18-6CF6-409B-8535-768BDBAE2FEB}"/>
    <dgm:cxn modelId="{EA519330-A877-40F9-9ACE-652EDE1CE8F2}" type="presOf" srcId="{4B4B8D93-87A0-483B-A814-E1F2A51106B0}" destId="{CD402296-035F-434A-A9F1-CBA223EC9B9A}" srcOrd="0" destOrd="11" presId="urn:microsoft.com/office/officeart/2008/layout/IncreasingCircleProcess"/>
    <dgm:cxn modelId="{120C9E33-978F-4251-A838-7C51292A33D9}" srcId="{E848CE54-CA21-425F-9C68-A4F68298FD31}" destId="{FE510236-C94E-4735-9839-3B6C01F2DF54}" srcOrd="2" destOrd="0" parTransId="{AC9F95EE-CE50-43AA-8E68-AB2B6A2FE100}" sibTransId="{E6B0407E-616A-4AC7-8A06-05B548630BB9}"/>
    <dgm:cxn modelId="{3026FF39-A765-4C56-A936-5100AA92941E}" srcId="{B2C64979-F3E1-F04E-941A-F1946A6108BA}" destId="{43D7E713-3801-4160-B327-8ABE083C58AC}" srcOrd="1" destOrd="0" parTransId="{EF1692FA-3409-482A-BDD9-59C008BEDB24}" sibTransId="{38FF26EB-9755-4496-9D99-77D1481475A2}"/>
    <dgm:cxn modelId="{25348D3F-C99B-2B44-8E65-6C649DB8F47F}" srcId="{C2F1D55A-00BB-BF49-8B2F-D9D4FF77B410}" destId="{B2C64979-F3E1-F04E-941A-F1946A6108BA}" srcOrd="0" destOrd="0" parTransId="{8DFD79DE-113A-BF4B-B053-6352631A164A}" sibTransId="{EB430C93-659B-6C47-8D39-B74A2F593910}"/>
    <dgm:cxn modelId="{3EB43F60-4FFC-4DED-8D9A-3150BB1164A5}" type="presOf" srcId="{14AF1A96-4E4E-4448-92E0-F72848F32828}" destId="{CD402296-035F-434A-A9F1-CBA223EC9B9A}" srcOrd="0" destOrd="4" presId="urn:microsoft.com/office/officeart/2008/layout/IncreasingCircleProcess"/>
    <dgm:cxn modelId="{2545ED60-2E16-4DE7-8862-7E98AB7CC08E}" srcId="{B2C64979-F3E1-F04E-941A-F1946A6108BA}" destId="{A750BDDF-58CF-4A8A-8A89-7E0E6F8641F9}" srcOrd="5" destOrd="0" parTransId="{920973E5-EAA5-4423-8308-31032140681A}" sibTransId="{6D377884-1EEE-4F3F-AE79-10046E6F74BF}"/>
    <dgm:cxn modelId="{B0C15E64-4F98-4676-9070-013A25C8F02F}" type="presOf" srcId="{97239D97-C75B-4D30-84D8-82341812D3AB}" destId="{CD402296-035F-434A-A9F1-CBA223EC9B9A}" srcOrd="0" destOrd="12" presId="urn:microsoft.com/office/officeart/2008/layout/IncreasingCircleProcess"/>
    <dgm:cxn modelId="{97EB566C-83CE-C545-8C35-6E74C677E4AE}" type="presOf" srcId="{C2F1D55A-00BB-BF49-8B2F-D9D4FF77B410}" destId="{B8B08CA3-4324-5A4E-BCFD-BF0D0749E53A}" srcOrd="0" destOrd="0" presId="urn:microsoft.com/office/officeart/2008/layout/IncreasingCircleProcess"/>
    <dgm:cxn modelId="{6F38746E-318E-4AB7-B7EF-9D0854F05ABC}" type="presOf" srcId="{C3ED7803-D180-4445-8005-ED84F2B6AD77}" destId="{CD402296-035F-434A-A9F1-CBA223EC9B9A}" srcOrd="0" destOrd="10" presId="urn:microsoft.com/office/officeart/2008/layout/IncreasingCircleProcess"/>
    <dgm:cxn modelId="{858D9D6E-7669-44F3-9B64-ADB5B2721350}" srcId="{A750BDDF-58CF-4A8A-8A89-7E0E6F8641F9}" destId="{C3ED7803-D180-4445-8005-ED84F2B6AD77}" srcOrd="1" destOrd="0" parTransId="{195A29C4-EE91-401F-B99E-9ECDD1DAA454}" sibTransId="{014457AC-0E5F-46AD-84CC-534AFAA75600}"/>
    <dgm:cxn modelId="{35F11571-166E-3745-B901-F22F56CA2B66}" type="presOf" srcId="{EB8A5A89-8231-4B43-8999-2086D0D6E231}" destId="{CD402296-035F-434A-A9F1-CBA223EC9B9A}" srcOrd="0" destOrd="0" presId="urn:microsoft.com/office/officeart/2008/layout/IncreasingCircleProcess"/>
    <dgm:cxn modelId="{F19D8B52-DADB-47CF-8648-4B01C77B3EDA}" srcId="{B2C64979-F3E1-F04E-941A-F1946A6108BA}" destId="{E848CE54-CA21-425F-9C68-A4F68298FD31}" srcOrd="3" destOrd="0" parTransId="{1E08D4C8-C29C-448B-9A94-5FF1E5052D68}" sibTransId="{E2098377-0815-4F68-87E6-D83656E74438}"/>
    <dgm:cxn modelId="{6210F982-714F-4006-B406-D168781E2192}" type="presOf" srcId="{43D7E713-3801-4160-B327-8ABE083C58AC}" destId="{CD402296-035F-434A-A9F1-CBA223EC9B9A}" srcOrd="0" destOrd="1" presId="urn:microsoft.com/office/officeart/2008/layout/IncreasingCircleProcess"/>
    <dgm:cxn modelId="{C9F6A783-2DD8-41E6-93B7-5AD87EF47E4C}" type="presOf" srcId="{A750BDDF-58CF-4A8A-8A89-7E0E6F8641F9}" destId="{CD402296-035F-434A-A9F1-CBA223EC9B9A}" srcOrd="0" destOrd="8" presId="urn:microsoft.com/office/officeart/2008/layout/IncreasingCircleProcess"/>
    <dgm:cxn modelId="{65DEB890-CDAB-4241-A685-8A50A19898E1}" srcId="{E848CE54-CA21-425F-9C68-A4F68298FD31}" destId="{14AF1A96-4E4E-4448-92E0-F72848F32828}" srcOrd="0" destOrd="0" parTransId="{EE637A70-7488-473D-B99B-803E387317A2}" sibTransId="{87A2F1EE-35AF-409A-9051-80CB1C4AF0DD}"/>
    <dgm:cxn modelId="{4244259B-95D9-402F-8A2A-A9B839C124F5}" srcId="{E848CE54-CA21-425F-9C68-A4F68298FD31}" destId="{CE414FF3-0621-4F81-87B2-576A656E1BE5}" srcOrd="1" destOrd="0" parTransId="{F2A87388-4A5A-4059-AF40-E7C1DFA495B3}" sibTransId="{AA2F593B-8607-47BC-BA20-C1AA3989DB78}"/>
    <dgm:cxn modelId="{7B6717AB-D807-4357-927F-A8D33BA5BF5E}" srcId="{B2C64979-F3E1-F04E-941A-F1946A6108BA}" destId="{CFDE3932-309F-4F28-BAAB-634E9AECA02F}" srcOrd="4" destOrd="0" parTransId="{A679AA20-691E-4661-B310-A2ABB2993F0B}" sibTransId="{F48CECBA-34B1-49BB-BDEB-EE3C965B3753}"/>
    <dgm:cxn modelId="{00765FB8-E837-43CD-9199-EF91216EAA42}" type="presOf" srcId="{CFDE3932-309F-4F28-BAAB-634E9AECA02F}" destId="{CD402296-035F-434A-A9F1-CBA223EC9B9A}" srcOrd="0" destOrd="7" presId="urn:microsoft.com/office/officeart/2008/layout/IncreasingCircleProcess"/>
    <dgm:cxn modelId="{513298D8-059B-4552-B84F-02F5B23A0C45}" srcId="{A750BDDF-58CF-4A8A-8A89-7E0E6F8641F9}" destId="{4B4B8D93-87A0-483B-A814-E1F2A51106B0}" srcOrd="2" destOrd="0" parTransId="{9980EA57-E11B-4D25-8674-BE90BE4AFDB2}" sibTransId="{BF321BCE-6210-46DD-9D03-EE4E36F29CA6}"/>
    <dgm:cxn modelId="{C452CED9-18F1-4AB0-86AA-B2A4B6D26930}" srcId="{B2C64979-F3E1-F04E-941A-F1946A6108BA}" destId="{97239D97-C75B-4D30-84D8-82341812D3AB}" srcOrd="6" destOrd="0" parTransId="{4900AD7C-61F7-437F-8D05-30830D5F5FD2}" sibTransId="{5CBDBD4F-2E6B-42E4-9F9C-8F82122AFC04}"/>
    <dgm:cxn modelId="{AC08CCE1-4FC6-403A-A792-8828DA51253B}" type="presOf" srcId="{E848CE54-CA21-425F-9C68-A4F68298FD31}" destId="{CD402296-035F-434A-A9F1-CBA223EC9B9A}" srcOrd="0" destOrd="3" presId="urn:microsoft.com/office/officeart/2008/layout/IncreasingCircleProcess"/>
    <dgm:cxn modelId="{F965F2E6-F4E4-43E4-BCFE-8C9849FBF69A}" type="presOf" srcId="{7600EEED-B167-4E76-8CB6-6CAF642B83EF}" destId="{CD402296-035F-434A-A9F1-CBA223EC9B9A}" srcOrd="0" destOrd="2" presId="urn:microsoft.com/office/officeart/2008/layout/IncreasingCircleProcess"/>
    <dgm:cxn modelId="{D6F4DDEE-A216-8342-B566-7746776919A5}" type="presOf" srcId="{B2C64979-F3E1-F04E-941A-F1946A6108BA}" destId="{7A083FDC-E9BB-6440-889D-3774DA820648}" srcOrd="0" destOrd="0" presId="urn:microsoft.com/office/officeart/2008/layout/IncreasingCircleProcess"/>
    <dgm:cxn modelId="{FF62E6FB-9FA0-4738-8646-AC2E70343D2F}" type="presOf" srcId="{6B9BC7D8-5CAB-46C7-AF26-7D32EFE19060}" destId="{CD402296-035F-434A-A9F1-CBA223EC9B9A}" srcOrd="0" destOrd="9" presId="urn:microsoft.com/office/officeart/2008/layout/IncreasingCircleProcess"/>
    <dgm:cxn modelId="{480559FF-02A5-4209-9A27-145F33150985}" type="presOf" srcId="{FE510236-C94E-4735-9839-3B6C01F2DF54}" destId="{CD402296-035F-434A-A9F1-CBA223EC9B9A}" srcOrd="0" destOrd="6" presId="urn:microsoft.com/office/officeart/2008/layout/IncreasingCircleProcess"/>
    <dgm:cxn modelId="{9AC49B7F-0AFA-BD4F-9109-6B46457008F4}" type="presParOf" srcId="{B8B08CA3-4324-5A4E-BCFD-BF0D0749E53A}" destId="{C087EEA8-4C4C-1843-972C-01AC3B857359}" srcOrd="0" destOrd="0" presId="urn:microsoft.com/office/officeart/2008/layout/IncreasingCircleProcess"/>
    <dgm:cxn modelId="{47039B17-7850-4F40-A987-C833F5B87445}" type="presParOf" srcId="{C087EEA8-4C4C-1843-972C-01AC3B857359}" destId="{5438F190-3B9F-724D-8C14-2F67C0F19C9A}" srcOrd="0" destOrd="0" presId="urn:microsoft.com/office/officeart/2008/layout/IncreasingCircleProcess"/>
    <dgm:cxn modelId="{560F4268-A496-3840-971C-F375183C9A05}" type="presParOf" srcId="{C087EEA8-4C4C-1843-972C-01AC3B857359}" destId="{F2C9143E-2B83-2041-BA95-7B46801A87F6}" srcOrd="1" destOrd="0" presId="urn:microsoft.com/office/officeart/2008/layout/IncreasingCircleProcess"/>
    <dgm:cxn modelId="{C52BAFB4-A9A5-C84D-908E-E3F268744FBB}" type="presParOf" srcId="{C087EEA8-4C4C-1843-972C-01AC3B857359}" destId="{CD402296-035F-434A-A9F1-CBA223EC9B9A}" srcOrd="2" destOrd="0" presId="urn:microsoft.com/office/officeart/2008/layout/IncreasingCircleProcess"/>
    <dgm:cxn modelId="{2FEA8168-4A16-4541-B4BC-001414A3D57D}" type="presParOf" srcId="{C087EEA8-4C4C-1843-972C-01AC3B857359}" destId="{7A083FDC-E9BB-6440-889D-3774DA820648}" srcOrd="3" destOrd="0" presId="urn:microsoft.com/office/officeart/2008/layout/IncreasingCircleProcess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C2F1D55A-00BB-BF49-8B2F-D9D4FF77B410}" type="doc">
      <dgm:prSet loTypeId="urn:microsoft.com/office/officeart/2008/layout/IncreasingCircleProcess" loCatId="" qsTypeId="urn:microsoft.com/office/officeart/2005/8/quickstyle/simple4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B2C64979-F3E1-F04E-941A-F1946A6108BA}">
      <dgm:prSet phldrT="[Text]" custT="1"/>
      <dgm:spPr/>
      <dgm:t>
        <a:bodyPr/>
        <a:lstStyle/>
        <a:p>
          <a:r>
            <a:rPr lang="en-US" sz="4000"/>
            <a:t>LEVEL 2</a:t>
          </a:r>
        </a:p>
      </dgm:t>
    </dgm:pt>
    <dgm:pt modelId="{8DFD79DE-113A-BF4B-B053-6352631A164A}" type="parTrans" cxnId="{25348D3F-C99B-2B44-8E65-6C649DB8F47F}">
      <dgm:prSet/>
      <dgm:spPr/>
      <dgm:t>
        <a:bodyPr/>
        <a:lstStyle/>
        <a:p>
          <a:endParaRPr lang="en-US"/>
        </a:p>
      </dgm:t>
    </dgm:pt>
    <dgm:pt modelId="{EB430C93-659B-6C47-8D39-B74A2F593910}" type="sibTrans" cxnId="{25348D3F-C99B-2B44-8E65-6C649DB8F47F}">
      <dgm:prSet/>
      <dgm:spPr/>
      <dgm:t>
        <a:bodyPr/>
        <a:lstStyle/>
        <a:p>
          <a:endParaRPr lang="en-US"/>
        </a:p>
      </dgm:t>
    </dgm:pt>
    <dgm:pt modelId="{A498110A-AFA1-1B49-B034-A931549D97B2}">
      <dgm:prSet phldrT="[Text]" custT="1"/>
      <dgm:spPr/>
      <dgm:t>
        <a:bodyPr/>
        <a:lstStyle/>
        <a:p>
          <a:endParaRPr lang="en-US" sz="2000" b="1"/>
        </a:p>
        <a:p>
          <a:endParaRPr lang="en-US" sz="2000" b="1"/>
        </a:p>
        <a:p>
          <a:r>
            <a:rPr lang="en-US" sz="2000" b="1"/>
            <a:t>Seven Night Minimum</a:t>
          </a:r>
          <a:endParaRPr lang="en-US" sz="2000"/>
        </a:p>
      </dgm:t>
    </dgm:pt>
    <dgm:pt modelId="{56B62260-9917-AD4E-82D8-C52A200DDAF3}" type="sibTrans" cxnId="{DEBBA023-45A7-7A48-82D7-9704CD292F7B}">
      <dgm:prSet/>
      <dgm:spPr/>
      <dgm:t>
        <a:bodyPr/>
        <a:lstStyle/>
        <a:p>
          <a:endParaRPr lang="en-US"/>
        </a:p>
      </dgm:t>
    </dgm:pt>
    <dgm:pt modelId="{F0AC7536-883B-2F42-98EE-8D01B1BF92B7}" type="parTrans" cxnId="{DEBBA023-45A7-7A48-82D7-9704CD292F7B}">
      <dgm:prSet/>
      <dgm:spPr/>
      <dgm:t>
        <a:bodyPr/>
        <a:lstStyle/>
        <a:p>
          <a:endParaRPr lang="en-US"/>
        </a:p>
      </dgm:t>
    </dgm:pt>
    <dgm:pt modelId="{A30930CB-F202-BC49-9E95-BE9CF205A614}">
      <dgm:prSet/>
      <dgm:spPr/>
      <dgm:t>
        <a:bodyPr/>
        <a:lstStyle/>
        <a:p>
          <a:endParaRPr lang="en-US" sz="1200"/>
        </a:p>
      </dgm:t>
    </dgm:pt>
    <dgm:pt modelId="{535D88A7-2BAE-EC4C-BF2C-BA5EB56259A5}" type="parTrans" cxnId="{0685AE0D-5EA8-6840-855D-41FE00C0E27C}">
      <dgm:prSet/>
      <dgm:spPr/>
      <dgm:t>
        <a:bodyPr/>
        <a:lstStyle/>
        <a:p>
          <a:endParaRPr lang="en-US"/>
        </a:p>
      </dgm:t>
    </dgm:pt>
    <dgm:pt modelId="{C87F4514-0CE5-3841-88E5-A7C31722EEBD}" type="sibTrans" cxnId="{0685AE0D-5EA8-6840-855D-41FE00C0E27C}">
      <dgm:prSet/>
      <dgm:spPr/>
      <dgm:t>
        <a:bodyPr/>
        <a:lstStyle/>
        <a:p>
          <a:endParaRPr lang="en-US"/>
        </a:p>
      </dgm:t>
    </dgm:pt>
    <dgm:pt modelId="{AB210DFD-9FFD-7E49-B80A-A22B07278FAE}">
      <dgm:prSet/>
      <dgm:spPr/>
      <dgm:t>
        <a:bodyPr/>
        <a:lstStyle/>
        <a:p>
          <a:endParaRPr lang="en-US" sz="1500" i="1"/>
        </a:p>
      </dgm:t>
    </dgm:pt>
    <dgm:pt modelId="{CC2D1CBB-9F6F-EF4D-968E-5B591788679F}" type="parTrans" cxnId="{91BFF50A-2C98-384E-8A95-E3B4C828C17A}">
      <dgm:prSet/>
      <dgm:spPr/>
      <dgm:t>
        <a:bodyPr/>
        <a:lstStyle/>
        <a:p>
          <a:endParaRPr lang="en-US"/>
        </a:p>
      </dgm:t>
    </dgm:pt>
    <dgm:pt modelId="{6554F2C3-98BA-4F46-83F2-ED83D72310F4}" type="sibTrans" cxnId="{91BFF50A-2C98-384E-8A95-E3B4C828C17A}">
      <dgm:prSet/>
      <dgm:spPr/>
      <dgm:t>
        <a:bodyPr/>
        <a:lstStyle/>
        <a:p>
          <a:endParaRPr lang="en-US"/>
        </a:p>
      </dgm:t>
    </dgm:pt>
    <dgm:pt modelId="{0F6FC41F-0769-4BA7-B78E-91D295FE4AD2}">
      <dgm:prSet phldrT="[Text]" custT="1"/>
      <dgm:spPr/>
      <dgm:t>
        <a:bodyPr/>
        <a:lstStyle/>
        <a:p>
          <a:r>
            <a:rPr lang="en-US" sz="2000" b="1"/>
            <a:t>Five Days Morning Two Tank Boat Dive</a:t>
          </a:r>
        </a:p>
      </dgm:t>
    </dgm:pt>
    <dgm:pt modelId="{F06E0232-3AE2-4E5E-AD37-3649A530EF4C}" type="parTrans" cxnId="{B2780B0F-0423-4AF7-ADAB-0A94A332E22D}">
      <dgm:prSet/>
      <dgm:spPr/>
      <dgm:t>
        <a:bodyPr/>
        <a:lstStyle/>
        <a:p>
          <a:endParaRPr lang="en-US"/>
        </a:p>
      </dgm:t>
    </dgm:pt>
    <dgm:pt modelId="{869CAD3F-5C46-497D-BC73-F7CBE0BA678A}" type="sibTrans" cxnId="{B2780B0F-0423-4AF7-ADAB-0A94A332E22D}">
      <dgm:prSet/>
      <dgm:spPr/>
      <dgm:t>
        <a:bodyPr/>
        <a:lstStyle/>
        <a:p>
          <a:endParaRPr lang="en-US"/>
        </a:p>
      </dgm:t>
    </dgm:pt>
    <dgm:pt modelId="{76DC5291-BC9D-4996-AA62-B0AB07911034}">
      <dgm:prSet custT="1"/>
      <dgm:spPr/>
      <dgm:t>
        <a:bodyPr/>
        <a:lstStyle/>
        <a:p>
          <a:r>
            <a:rPr lang="en-US" sz="2000" b="1"/>
            <a:t>Reflects a 25% discount off Room and Dive</a:t>
          </a:r>
        </a:p>
        <a:p>
          <a:r>
            <a:rPr lang="en-US" sz="2000" b="1"/>
            <a:t>9:1  - 14:2 Comp Spot</a:t>
          </a:r>
        </a:p>
      </dgm:t>
    </dgm:pt>
    <dgm:pt modelId="{A5AAE691-CE64-4B94-B6DA-3475241DE07E}" type="parTrans" cxnId="{E5669AD0-6AEC-40B0-ADF4-EF535E823DA4}">
      <dgm:prSet/>
      <dgm:spPr/>
      <dgm:t>
        <a:bodyPr/>
        <a:lstStyle/>
        <a:p>
          <a:endParaRPr lang="en-US"/>
        </a:p>
      </dgm:t>
    </dgm:pt>
    <dgm:pt modelId="{92C9D0B2-FB2E-4BB2-9B3C-64B57187D0B7}" type="sibTrans" cxnId="{E5669AD0-6AEC-40B0-ADF4-EF535E823DA4}">
      <dgm:prSet/>
      <dgm:spPr/>
      <dgm:t>
        <a:bodyPr/>
        <a:lstStyle/>
        <a:p>
          <a:endParaRPr lang="en-US"/>
        </a:p>
      </dgm:t>
    </dgm:pt>
    <dgm:pt modelId="{31929348-1D96-448C-8AFD-3A8047BB849E}">
      <dgm:prSet custT="1"/>
      <dgm:spPr/>
      <dgm:t>
        <a:bodyPr/>
        <a:lstStyle/>
        <a:p>
          <a:r>
            <a:rPr lang="en-US" sz="2000" b="1"/>
            <a:t>Transfers/Breakfast</a:t>
          </a:r>
        </a:p>
      </dgm:t>
    </dgm:pt>
    <dgm:pt modelId="{E90F998B-35FF-4E59-9383-F6C10300F70D}" type="parTrans" cxnId="{A673D3D5-BC15-456D-86FF-01AF8F3E2F04}">
      <dgm:prSet/>
      <dgm:spPr/>
      <dgm:t>
        <a:bodyPr/>
        <a:lstStyle/>
        <a:p>
          <a:endParaRPr lang="en-US"/>
        </a:p>
      </dgm:t>
    </dgm:pt>
    <dgm:pt modelId="{CD096C52-F342-432D-B402-6D190768D65C}" type="sibTrans" cxnId="{A673D3D5-BC15-456D-86FF-01AF8F3E2F04}">
      <dgm:prSet/>
      <dgm:spPr/>
      <dgm:t>
        <a:bodyPr/>
        <a:lstStyle/>
        <a:p>
          <a:endParaRPr lang="en-US"/>
        </a:p>
      </dgm:t>
    </dgm:pt>
    <dgm:pt modelId="{1F6CBE83-AFD6-4F70-993F-255540CB58F7}">
      <dgm:prSet custT="1"/>
      <dgm:spPr/>
      <dgm:t>
        <a:bodyPr/>
        <a:lstStyle/>
        <a:p>
          <a:r>
            <a:rPr lang="en-US" sz="2000" b="1"/>
            <a:t>Tax and Service</a:t>
          </a:r>
        </a:p>
      </dgm:t>
    </dgm:pt>
    <dgm:pt modelId="{3E55DEF2-4A0F-4A77-9D40-EAE6DB06691A}" type="parTrans" cxnId="{DA798712-A754-459F-ACF6-50D66F349F36}">
      <dgm:prSet/>
      <dgm:spPr/>
      <dgm:t>
        <a:bodyPr/>
        <a:lstStyle/>
        <a:p>
          <a:endParaRPr lang="en-US"/>
        </a:p>
      </dgm:t>
    </dgm:pt>
    <dgm:pt modelId="{F8D6502D-7A3B-4B01-AF15-14D827F27D0E}" type="sibTrans" cxnId="{DA798712-A754-459F-ACF6-50D66F349F36}">
      <dgm:prSet/>
      <dgm:spPr/>
      <dgm:t>
        <a:bodyPr/>
        <a:lstStyle/>
        <a:p>
          <a:endParaRPr lang="en-US"/>
        </a:p>
      </dgm:t>
    </dgm:pt>
    <dgm:pt modelId="{F5EAE97E-C045-4136-A6F2-B1C819097514}">
      <dgm:prSet custT="1"/>
      <dgm:spPr/>
      <dgm:t>
        <a:bodyPr/>
        <a:lstStyle/>
        <a:p>
          <a:endParaRPr lang="en-US" sz="2000" b="1"/>
        </a:p>
      </dgm:t>
    </dgm:pt>
    <dgm:pt modelId="{FADE8C5F-A675-4181-B369-3C2911FF0CEE}" type="parTrans" cxnId="{98F3AC4E-9C25-4DA5-A111-DF6BB3239BCB}">
      <dgm:prSet/>
      <dgm:spPr/>
      <dgm:t>
        <a:bodyPr/>
        <a:lstStyle/>
        <a:p>
          <a:endParaRPr lang="en-US"/>
        </a:p>
      </dgm:t>
    </dgm:pt>
    <dgm:pt modelId="{8CFAE92A-38CE-4E45-9F8E-7295A2FBFFA3}" type="sibTrans" cxnId="{98F3AC4E-9C25-4DA5-A111-DF6BB3239BCB}">
      <dgm:prSet/>
      <dgm:spPr/>
      <dgm:t>
        <a:bodyPr/>
        <a:lstStyle/>
        <a:p>
          <a:endParaRPr lang="en-US"/>
        </a:p>
      </dgm:t>
    </dgm:pt>
    <dgm:pt modelId="{AD4A7BED-619B-473B-AFCD-EB35AC971315}">
      <dgm:prSet custT="1"/>
      <dgm:spPr/>
      <dgm:t>
        <a:bodyPr/>
        <a:lstStyle/>
        <a:p>
          <a:r>
            <a:rPr lang="en-US" sz="1800" b="1"/>
            <a:t>Incentives:</a:t>
          </a:r>
        </a:p>
      </dgm:t>
    </dgm:pt>
    <dgm:pt modelId="{F07ADB29-0CAE-4A38-A726-4A6EAB216B46}" type="parTrans" cxnId="{B929358A-E422-470E-B429-1EAA142292F7}">
      <dgm:prSet/>
      <dgm:spPr/>
      <dgm:t>
        <a:bodyPr/>
        <a:lstStyle/>
        <a:p>
          <a:endParaRPr lang="en-GB"/>
        </a:p>
      </dgm:t>
    </dgm:pt>
    <dgm:pt modelId="{E6D156B8-DFEE-447B-A63A-BB7D3392E2D9}" type="sibTrans" cxnId="{B929358A-E422-470E-B429-1EAA142292F7}">
      <dgm:prSet/>
      <dgm:spPr/>
      <dgm:t>
        <a:bodyPr/>
        <a:lstStyle/>
        <a:p>
          <a:endParaRPr lang="en-GB"/>
        </a:p>
      </dgm:t>
    </dgm:pt>
    <dgm:pt modelId="{8645FFCC-C776-4E02-8940-4B21B34EF736}">
      <dgm:prSet custT="1"/>
      <dgm:spPr/>
      <dgm:t>
        <a:bodyPr/>
        <a:lstStyle/>
        <a:p>
          <a:endParaRPr lang="en-US" sz="2000" b="1"/>
        </a:p>
      </dgm:t>
    </dgm:pt>
    <dgm:pt modelId="{D20F28EE-4385-4E3D-90A3-A1B851057406}" type="parTrans" cxnId="{E71A45D2-F867-4411-BF1E-FA856FE47D52}">
      <dgm:prSet/>
      <dgm:spPr/>
      <dgm:t>
        <a:bodyPr/>
        <a:lstStyle/>
        <a:p>
          <a:endParaRPr lang="en-GB"/>
        </a:p>
      </dgm:t>
    </dgm:pt>
    <dgm:pt modelId="{16CE15AF-2288-4A93-BD12-9BA594E919C1}" type="sibTrans" cxnId="{E71A45D2-F867-4411-BF1E-FA856FE47D52}">
      <dgm:prSet/>
      <dgm:spPr/>
      <dgm:t>
        <a:bodyPr/>
        <a:lstStyle/>
        <a:p>
          <a:endParaRPr lang="en-GB"/>
        </a:p>
      </dgm:t>
    </dgm:pt>
    <dgm:pt modelId="{E1C6DF67-1775-4DF9-9028-DC17818562DA}">
      <dgm:prSet custT="1"/>
      <dgm:spPr/>
      <dgm:t>
        <a:bodyPr/>
        <a:lstStyle/>
        <a:p>
          <a:r>
            <a:rPr lang="en-US" sz="1800" b="1"/>
            <a:t>Group of 16 or more </a:t>
          </a:r>
        </a:p>
      </dgm:t>
    </dgm:pt>
    <dgm:pt modelId="{CC685909-9FE8-47C4-A15A-E70965AC45DF}" type="parTrans" cxnId="{823C1F1E-7C9F-4817-992B-AF905F17BF72}">
      <dgm:prSet/>
      <dgm:spPr/>
      <dgm:t>
        <a:bodyPr/>
        <a:lstStyle/>
        <a:p>
          <a:endParaRPr lang="en-GB"/>
        </a:p>
      </dgm:t>
    </dgm:pt>
    <dgm:pt modelId="{3A7B007C-BF5D-47DC-B687-3E1A858516EE}" type="sibTrans" cxnId="{823C1F1E-7C9F-4817-992B-AF905F17BF72}">
      <dgm:prSet/>
      <dgm:spPr/>
      <dgm:t>
        <a:bodyPr/>
        <a:lstStyle/>
        <a:p>
          <a:endParaRPr lang="en-GB"/>
        </a:p>
      </dgm:t>
    </dgm:pt>
    <dgm:pt modelId="{0737F1F9-4E4F-4CE9-A51B-9A20435E9325}">
      <dgm:prSet custT="1"/>
      <dgm:spPr/>
      <dgm:t>
        <a:bodyPr/>
        <a:lstStyle/>
        <a:p>
          <a:r>
            <a:rPr lang="en-US" sz="1800" b="1"/>
            <a:t>Kittiwake (on morning two tank)</a:t>
          </a:r>
        </a:p>
      </dgm:t>
    </dgm:pt>
    <dgm:pt modelId="{D5EF296C-8112-4832-AF2E-E1107ADD69E4}" type="parTrans" cxnId="{8B0131C6-EDF4-4457-9BA7-5BD5394522CA}">
      <dgm:prSet/>
      <dgm:spPr/>
      <dgm:t>
        <a:bodyPr/>
        <a:lstStyle/>
        <a:p>
          <a:endParaRPr lang="en-GB"/>
        </a:p>
      </dgm:t>
    </dgm:pt>
    <dgm:pt modelId="{72724903-C614-4D70-BD24-BE4F130BC23B}" type="sibTrans" cxnId="{8B0131C6-EDF4-4457-9BA7-5BD5394522CA}">
      <dgm:prSet/>
      <dgm:spPr/>
      <dgm:t>
        <a:bodyPr/>
        <a:lstStyle/>
        <a:p>
          <a:endParaRPr lang="en-GB"/>
        </a:p>
      </dgm:t>
    </dgm:pt>
    <dgm:pt modelId="{3E228EFA-A2DE-4B6C-8371-0BD71287D806}">
      <dgm:prSet custT="1"/>
      <dgm:spPr/>
      <dgm:t>
        <a:bodyPr/>
        <a:lstStyle/>
        <a:p>
          <a:r>
            <a:rPr lang="en-US" sz="1800" b="1"/>
            <a:t>Stingray City (on morning two tank)</a:t>
          </a:r>
        </a:p>
      </dgm:t>
    </dgm:pt>
    <dgm:pt modelId="{7AAEE792-2E58-4033-B806-0E3F61C2153F}" type="parTrans" cxnId="{FA3C0642-76CB-4481-9014-486242C9CE39}">
      <dgm:prSet/>
      <dgm:spPr/>
      <dgm:t>
        <a:bodyPr/>
        <a:lstStyle/>
        <a:p>
          <a:endParaRPr lang="en-GB"/>
        </a:p>
      </dgm:t>
    </dgm:pt>
    <dgm:pt modelId="{02F3F735-1AD0-4DEB-A7D1-E94C7CCB438C}" type="sibTrans" cxnId="{FA3C0642-76CB-4481-9014-486242C9CE39}">
      <dgm:prSet/>
      <dgm:spPr/>
      <dgm:t>
        <a:bodyPr/>
        <a:lstStyle/>
        <a:p>
          <a:endParaRPr lang="en-GB"/>
        </a:p>
      </dgm:t>
    </dgm:pt>
    <dgm:pt modelId="{059D0F0A-C6AF-4297-98EB-9169CE956F14}">
      <dgm:prSet custT="1"/>
      <dgm:spPr/>
      <dgm:t>
        <a:bodyPr/>
        <a:lstStyle/>
        <a:p>
          <a:r>
            <a:rPr lang="en-US" sz="1800" b="1"/>
            <a:t>Own Boat</a:t>
          </a:r>
        </a:p>
      </dgm:t>
    </dgm:pt>
    <dgm:pt modelId="{64D02590-FC7D-4652-BD5F-F52EBA4ED424}" type="parTrans" cxnId="{17CC78D9-DBB4-4B59-AEF9-76868878EF04}">
      <dgm:prSet/>
      <dgm:spPr/>
      <dgm:t>
        <a:bodyPr/>
        <a:lstStyle/>
        <a:p>
          <a:endParaRPr lang="en-GB"/>
        </a:p>
      </dgm:t>
    </dgm:pt>
    <dgm:pt modelId="{9D22EAB1-B888-4364-8DD0-31E0E1C82242}" type="sibTrans" cxnId="{17CC78D9-DBB4-4B59-AEF9-76868878EF04}">
      <dgm:prSet/>
      <dgm:spPr/>
      <dgm:t>
        <a:bodyPr/>
        <a:lstStyle/>
        <a:p>
          <a:endParaRPr lang="en-GB"/>
        </a:p>
      </dgm:t>
    </dgm:pt>
    <dgm:pt modelId="{1FAC1129-1BF4-4743-9967-54A1D525F14B}">
      <dgm:prSet custT="1"/>
      <dgm:spPr/>
      <dgm:t>
        <a:bodyPr/>
        <a:lstStyle/>
        <a:p>
          <a:r>
            <a:rPr lang="en-US" sz="1800" b="1"/>
            <a:t>(Kittiwake &amp; Stingray City are weather permitting)</a:t>
          </a:r>
          <a:endParaRPr lang="en-GB" sz="1800"/>
        </a:p>
      </dgm:t>
    </dgm:pt>
    <dgm:pt modelId="{8AA53842-A48D-45CB-B1C1-2F757F16E2C1}" type="parTrans" cxnId="{8C500175-9AE1-4A36-B36E-A82DB05C9AE1}">
      <dgm:prSet/>
      <dgm:spPr/>
      <dgm:t>
        <a:bodyPr/>
        <a:lstStyle/>
        <a:p>
          <a:endParaRPr lang="en-GB"/>
        </a:p>
      </dgm:t>
    </dgm:pt>
    <dgm:pt modelId="{5FF29725-CD82-426F-B08E-1A171983DDDB}" type="sibTrans" cxnId="{8C500175-9AE1-4A36-B36E-A82DB05C9AE1}">
      <dgm:prSet/>
      <dgm:spPr/>
      <dgm:t>
        <a:bodyPr/>
        <a:lstStyle/>
        <a:p>
          <a:endParaRPr lang="en-GB"/>
        </a:p>
      </dgm:t>
    </dgm:pt>
    <dgm:pt modelId="{B8B08CA3-4324-5A4E-BCFD-BF0D0749E53A}" type="pres">
      <dgm:prSet presAssocID="{C2F1D55A-00BB-BF49-8B2F-D9D4FF77B410}" presName="Name0" presStyleCnt="0">
        <dgm:presLayoutVars>
          <dgm:chMax val="7"/>
          <dgm:chPref val="7"/>
          <dgm:dir/>
          <dgm:animOne val="branch"/>
          <dgm:animLvl val="lvl"/>
        </dgm:presLayoutVars>
      </dgm:prSet>
      <dgm:spPr/>
    </dgm:pt>
    <dgm:pt modelId="{C087EEA8-4C4C-1843-972C-01AC3B857359}" type="pres">
      <dgm:prSet presAssocID="{B2C64979-F3E1-F04E-941A-F1946A6108BA}" presName="composite" presStyleCnt="0"/>
      <dgm:spPr/>
    </dgm:pt>
    <dgm:pt modelId="{5438F190-3B9F-724D-8C14-2F67C0F19C9A}" type="pres">
      <dgm:prSet presAssocID="{B2C64979-F3E1-F04E-941A-F1946A6108BA}" presName="BackAccent" presStyleLbl="bgShp" presStyleIdx="0" presStyleCnt="1"/>
      <dgm:spPr/>
    </dgm:pt>
    <dgm:pt modelId="{F2C9143E-2B83-2041-BA95-7B46801A87F6}" type="pres">
      <dgm:prSet presAssocID="{B2C64979-F3E1-F04E-941A-F1946A6108BA}" presName="Accent" presStyleLbl="alignNode1" presStyleIdx="0" presStyleCnt="1"/>
      <dgm:spPr>
        <a:solidFill>
          <a:srgbClr val="FF6600"/>
        </a:solidFill>
      </dgm:spPr>
    </dgm:pt>
    <dgm:pt modelId="{CD402296-035F-434A-A9F1-CBA223EC9B9A}" type="pres">
      <dgm:prSet presAssocID="{B2C64979-F3E1-F04E-941A-F1946A6108BA}" presName="Child" presStyleLbl="revTx" presStyleIdx="0" presStyleCnt="2" custScaleX="180507" custScaleY="166636" custLinFactNeighborX="-11400" custLinFactNeighborY="15555">
        <dgm:presLayoutVars>
          <dgm:chMax val="0"/>
          <dgm:chPref val="0"/>
          <dgm:bulletEnabled val="1"/>
        </dgm:presLayoutVars>
      </dgm:prSet>
      <dgm:spPr/>
    </dgm:pt>
    <dgm:pt modelId="{7A083FDC-E9BB-6440-889D-3774DA820648}" type="pres">
      <dgm:prSet presAssocID="{B2C64979-F3E1-F04E-941A-F1946A6108BA}" presName="Parent" presStyleLbl="revTx" presStyleIdx="1" presStyleCnt="2">
        <dgm:presLayoutVars>
          <dgm:chMax val="1"/>
          <dgm:chPref val="1"/>
          <dgm:bulletEnabled val="1"/>
        </dgm:presLayoutVars>
      </dgm:prSet>
      <dgm:spPr/>
    </dgm:pt>
  </dgm:ptLst>
  <dgm:cxnLst>
    <dgm:cxn modelId="{B5DA3903-FAFE-7B42-BDD6-15E0F4862958}" type="presOf" srcId="{AB210DFD-9FFD-7E49-B80A-A22B07278FAE}" destId="{CD402296-035F-434A-A9F1-CBA223EC9B9A}" srcOrd="0" destOrd="14" presId="urn:microsoft.com/office/officeart/2008/layout/IncreasingCircleProcess"/>
    <dgm:cxn modelId="{8ABC2F07-A352-4343-9138-605B736D1B04}" type="presOf" srcId="{0737F1F9-4E4F-4CE9-A51B-9A20435E9325}" destId="{CD402296-035F-434A-A9F1-CBA223EC9B9A}" srcOrd="0" destOrd="8" presId="urn:microsoft.com/office/officeart/2008/layout/IncreasingCircleProcess"/>
    <dgm:cxn modelId="{91BFF50A-2C98-384E-8A95-E3B4C828C17A}" srcId="{B2C64979-F3E1-F04E-941A-F1946A6108BA}" destId="{AB210DFD-9FFD-7E49-B80A-A22B07278FAE}" srcOrd="8" destOrd="0" parTransId="{CC2D1CBB-9F6F-EF4D-968E-5B591788679F}" sibTransId="{6554F2C3-98BA-4F46-83F2-ED83D72310F4}"/>
    <dgm:cxn modelId="{0685AE0D-5EA8-6840-855D-41FE00C0E27C}" srcId="{B2C64979-F3E1-F04E-941A-F1946A6108BA}" destId="{A30930CB-F202-BC49-9E95-BE9CF205A614}" srcOrd="7" destOrd="0" parTransId="{535D88A7-2BAE-EC4C-BF2C-BA5EB56259A5}" sibTransId="{C87F4514-0CE5-3841-88E5-A7C31722EEBD}"/>
    <dgm:cxn modelId="{B2780B0F-0423-4AF7-ADAB-0A94A332E22D}" srcId="{B2C64979-F3E1-F04E-941A-F1946A6108BA}" destId="{0F6FC41F-0769-4BA7-B78E-91D295FE4AD2}" srcOrd="1" destOrd="0" parTransId="{F06E0232-3AE2-4E5E-AD37-3649A530EF4C}" sibTransId="{869CAD3F-5C46-497D-BC73-F7CBE0BA678A}"/>
    <dgm:cxn modelId="{4C967F12-505C-CD4F-97A8-3159B3D7CD05}" type="presOf" srcId="{A30930CB-F202-BC49-9E95-BE9CF205A614}" destId="{CD402296-035F-434A-A9F1-CBA223EC9B9A}" srcOrd="0" destOrd="13" presId="urn:microsoft.com/office/officeart/2008/layout/IncreasingCircleProcess"/>
    <dgm:cxn modelId="{DA798712-A754-459F-ACF6-50D66F349F36}" srcId="{76DC5291-BC9D-4996-AA62-B0AB07911034}" destId="{1F6CBE83-AFD6-4F70-993F-255540CB58F7}" srcOrd="1" destOrd="0" parTransId="{3E55DEF2-4A0F-4A77-9D40-EAE6DB06691A}" sibTransId="{F8D6502D-7A3B-4B01-AF15-14D827F27D0E}"/>
    <dgm:cxn modelId="{39827318-B56F-44FA-9820-CB1F009AA17B}" type="presOf" srcId="{31929348-1D96-448C-8AFD-3A8047BB849E}" destId="{CD402296-035F-434A-A9F1-CBA223EC9B9A}" srcOrd="0" destOrd="3" presId="urn:microsoft.com/office/officeart/2008/layout/IncreasingCircleProcess"/>
    <dgm:cxn modelId="{823C1F1E-7C9F-4817-992B-AF905F17BF72}" srcId="{B2C64979-F3E1-F04E-941A-F1946A6108BA}" destId="{E1C6DF67-1775-4DF9-9028-DC17818562DA}" srcOrd="4" destOrd="0" parTransId="{CC685909-9FE8-47C4-A15A-E70965AC45DF}" sibTransId="{3A7B007C-BF5D-47DC-B687-3E1A858516EE}"/>
    <dgm:cxn modelId="{F459F71F-3D84-46CA-83A9-F50337D807B5}" type="presOf" srcId="{3E228EFA-A2DE-4B6C-8371-0BD71287D806}" destId="{CD402296-035F-434A-A9F1-CBA223EC9B9A}" srcOrd="0" destOrd="9" presId="urn:microsoft.com/office/officeart/2008/layout/IncreasingCircleProcess"/>
    <dgm:cxn modelId="{DEBBA023-45A7-7A48-82D7-9704CD292F7B}" srcId="{B2C64979-F3E1-F04E-941A-F1946A6108BA}" destId="{A498110A-AFA1-1B49-B034-A931549D97B2}" srcOrd="0" destOrd="0" parTransId="{F0AC7536-883B-2F42-98EE-8D01B1BF92B7}" sibTransId="{56B62260-9917-AD4E-82D8-C52A200DDAF3}"/>
    <dgm:cxn modelId="{6D315B32-959B-47DF-BD0C-68F1F72436CE}" type="presOf" srcId="{E1C6DF67-1775-4DF9-9028-DC17818562DA}" destId="{CD402296-035F-434A-A9F1-CBA223EC9B9A}" srcOrd="0" destOrd="7" presId="urn:microsoft.com/office/officeart/2008/layout/IncreasingCircleProcess"/>
    <dgm:cxn modelId="{752DC335-5138-42A0-BAA3-A2F89A4F54DB}" type="presOf" srcId="{1FAC1129-1BF4-4743-9967-54A1D525F14B}" destId="{CD402296-035F-434A-A9F1-CBA223EC9B9A}" srcOrd="0" destOrd="11" presId="urn:microsoft.com/office/officeart/2008/layout/IncreasingCircleProcess"/>
    <dgm:cxn modelId="{25348D3F-C99B-2B44-8E65-6C649DB8F47F}" srcId="{C2F1D55A-00BB-BF49-8B2F-D9D4FF77B410}" destId="{B2C64979-F3E1-F04E-941A-F1946A6108BA}" srcOrd="0" destOrd="0" parTransId="{8DFD79DE-113A-BF4B-B053-6352631A164A}" sibTransId="{EB430C93-659B-6C47-8D39-B74A2F593910}"/>
    <dgm:cxn modelId="{8921973F-24E8-4D5A-BA74-3C8BCB2FE92D}" type="presOf" srcId="{1F6CBE83-AFD6-4F70-993F-255540CB58F7}" destId="{CD402296-035F-434A-A9F1-CBA223EC9B9A}" srcOrd="0" destOrd="4" presId="urn:microsoft.com/office/officeart/2008/layout/IncreasingCircleProcess"/>
    <dgm:cxn modelId="{FA3C0642-76CB-4481-9014-486242C9CE39}" srcId="{E1C6DF67-1775-4DF9-9028-DC17818562DA}" destId="{3E228EFA-A2DE-4B6C-8371-0BD71287D806}" srcOrd="1" destOrd="0" parTransId="{7AAEE792-2E58-4033-B806-0E3F61C2153F}" sibTransId="{02F3F735-1AD0-4DEB-A7D1-E94C7CCB438C}"/>
    <dgm:cxn modelId="{28FCD443-47E6-42B6-B6D8-AD9DE2631483}" type="presOf" srcId="{F5EAE97E-C045-4136-A6F2-B1C819097514}" destId="{CD402296-035F-434A-A9F1-CBA223EC9B9A}" srcOrd="0" destOrd="5" presId="urn:microsoft.com/office/officeart/2008/layout/IncreasingCircleProcess"/>
    <dgm:cxn modelId="{02474965-447E-5D48-81E2-74187B7A3DC7}" type="presOf" srcId="{A498110A-AFA1-1B49-B034-A931549D97B2}" destId="{CD402296-035F-434A-A9F1-CBA223EC9B9A}" srcOrd="0" destOrd="0" presId="urn:microsoft.com/office/officeart/2008/layout/IncreasingCircleProcess"/>
    <dgm:cxn modelId="{1C97C447-78BD-4537-AE0A-DC0CF992EE03}" type="presOf" srcId="{AD4A7BED-619B-473B-AFCD-EB35AC971315}" destId="{CD402296-035F-434A-A9F1-CBA223EC9B9A}" srcOrd="0" destOrd="6" presId="urn:microsoft.com/office/officeart/2008/layout/IncreasingCircleProcess"/>
    <dgm:cxn modelId="{97C97F68-9480-4E9B-A537-92FD84AD59E3}" type="presOf" srcId="{8645FFCC-C776-4E02-8940-4B21B34EF736}" destId="{CD402296-035F-434A-A9F1-CBA223EC9B9A}" srcOrd="0" destOrd="12" presId="urn:microsoft.com/office/officeart/2008/layout/IncreasingCircleProcess"/>
    <dgm:cxn modelId="{8528896A-340B-4F42-A732-F0A53F26DCEB}" type="presOf" srcId="{059D0F0A-C6AF-4297-98EB-9169CE956F14}" destId="{CD402296-035F-434A-A9F1-CBA223EC9B9A}" srcOrd="0" destOrd="10" presId="urn:microsoft.com/office/officeart/2008/layout/IncreasingCircleProcess"/>
    <dgm:cxn modelId="{98F3AC4E-9C25-4DA5-A111-DF6BB3239BCB}" srcId="{76DC5291-BC9D-4996-AA62-B0AB07911034}" destId="{F5EAE97E-C045-4136-A6F2-B1C819097514}" srcOrd="2" destOrd="0" parTransId="{FADE8C5F-A675-4181-B369-3C2911FF0CEE}" sibTransId="{8CFAE92A-38CE-4E45-9F8E-7295A2FBFFA3}"/>
    <dgm:cxn modelId="{B0E16054-B621-46DA-AF29-EB5E65576273}" type="presOf" srcId="{0F6FC41F-0769-4BA7-B78E-91D295FE4AD2}" destId="{CD402296-035F-434A-A9F1-CBA223EC9B9A}" srcOrd="0" destOrd="1" presId="urn:microsoft.com/office/officeart/2008/layout/IncreasingCircleProcess"/>
    <dgm:cxn modelId="{8C500175-9AE1-4A36-B36E-A82DB05C9AE1}" srcId="{B2C64979-F3E1-F04E-941A-F1946A6108BA}" destId="{1FAC1129-1BF4-4743-9967-54A1D525F14B}" srcOrd="5" destOrd="0" parTransId="{8AA53842-A48D-45CB-B1C1-2F757F16E2C1}" sibTransId="{5FF29725-CD82-426F-B08E-1A171983DDDB}"/>
    <dgm:cxn modelId="{B929358A-E422-470E-B429-1EAA142292F7}" srcId="{B2C64979-F3E1-F04E-941A-F1946A6108BA}" destId="{AD4A7BED-619B-473B-AFCD-EB35AC971315}" srcOrd="3" destOrd="0" parTransId="{F07ADB29-0CAE-4A38-A726-4A6EAB216B46}" sibTransId="{E6D156B8-DFEE-447B-A63A-BB7D3392E2D9}"/>
    <dgm:cxn modelId="{8EF8928A-1D3E-4829-B7C2-D2A0641266F7}" type="presOf" srcId="{76DC5291-BC9D-4996-AA62-B0AB07911034}" destId="{CD402296-035F-434A-A9F1-CBA223EC9B9A}" srcOrd="0" destOrd="2" presId="urn:microsoft.com/office/officeart/2008/layout/IncreasingCircleProcess"/>
    <dgm:cxn modelId="{3C38E6B5-76C0-274F-A2FB-986A22C0F959}" type="presOf" srcId="{C2F1D55A-00BB-BF49-8B2F-D9D4FF77B410}" destId="{B8B08CA3-4324-5A4E-BCFD-BF0D0749E53A}" srcOrd="0" destOrd="0" presId="urn:microsoft.com/office/officeart/2008/layout/IncreasingCircleProcess"/>
    <dgm:cxn modelId="{17EC55BA-524B-0842-975F-D72A9BC3849E}" type="presOf" srcId="{B2C64979-F3E1-F04E-941A-F1946A6108BA}" destId="{7A083FDC-E9BB-6440-889D-3774DA820648}" srcOrd="0" destOrd="0" presId="urn:microsoft.com/office/officeart/2008/layout/IncreasingCircleProcess"/>
    <dgm:cxn modelId="{8B0131C6-EDF4-4457-9BA7-5BD5394522CA}" srcId="{E1C6DF67-1775-4DF9-9028-DC17818562DA}" destId="{0737F1F9-4E4F-4CE9-A51B-9A20435E9325}" srcOrd="0" destOrd="0" parTransId="{D5EF296C-8112-4832-AF2E-E1107ADD69E4}" sibTransId="{72724903-C614-4D70-BD24-BE4F130BC23B}"/>
    <dgm:cxn modelId="{E5669AD0-6AEC-40B0-ADF4-EF535E823DA4}" srcId="{B2C64979-F3E1-F04E-941A-F1946A6108BA}" destId="{76DC5291-BC9D-4996-AA62-B0AB07911034}" srcOrd="2" destOrd="0" parTransId="{A5AAE691-CE64-4B94-B6DA-3475241DE07E}" sibTransId="{92C9D0B2-FB2E-4BB2-9B3C-64B57187D0B7}"/>
    <dgm:cxn modelId="{E71A45D2-F867-4411-BF1E-FA856FE47D52}" srcId="{B2C64979-F3E1-F04E-941A-F1946A6108BA}" destId="{8645FFCC-C776-4E02-8940-4B21B34EF736}" srcOrd="6" destOrd="0" parTransId="{D20F28EE-4385-4E3D-90A3-A1B851057406}" sibTransId="{16CE15AF-2288-4A93-BD12-9BA594E919C1}"/>
    <dgm:cxn modelId="{A673D3D5-BC15-456D-86FF-01AF8F3E2F04}" srcId="{76DC5291-BC9D-4996-AA62-B0AB07911034}" destId="{31929348-1D96-448C-8AFD-3A8047BB849E}" srcOrd="0" destOrd="0" parTransId="{E90F998B-35FF-4E59-9383-F6C10300F70D}" sibTransId="{CD096C52-F342-432D-B402-6D190768D65C}"/>
    <dgm:cxn modelId="{17CC78D9-DBB4-4B59-AEF9-76868878EF04}" srcId="{E1C6DF67-1775-4DF9-9028-DC17818562DA}" destId="{059D0F0A-C6AF-4297-98EB-9169CE956F14}" srcOrd="2" destOrd="0" parTransId="{64D02590-FC7D-4652-BD5F-F52EBA4ED424}" sibTransId="{9D22EAB1-B888-4364-8DD0-31E0E1C82242}"/>
    <dgm:cxn modelId="{2C15F4B4-9E76-6445-88E0-1D8BF313A8AE}" type="presParOf" srcId="{B8B08CA3-4324-5A4E-BCFD-BF0D0749E53A}" destId="{C087EEA8-4C4C-1843-972C-01AC3B857359}" srcOrd="0" destOrd="0" presId="urn:microsoft.com/office/officeart/2008/layout/IncreasingCircleProcess"/>
    <dgm:cxn modelId="{81F11103-B317-1447-A8D8-E3889E5CFD3B}" type="presParOf" srcId="{C087EEA8-4C4C-1843-972C-01AC3B857359}" destId="{5438F190-3B9F-724D-8C14-2F67C0F19C9A}" srcOrd="0" destOrd="0" presId="urn:microsoft.com/office/officeart/2008/layout/IncreasingCircleProcess"/>
    <dgm:cxn modelId="{15A5A31A-88FF-DC41-88DD-C993CD9BAEE3}" type="presParOf" srcId="{C087EEA8-4C4C-1843-972C-01AC3B857359}" destId="{F2C9143E-2B83-2041-BA95-7B46801A87F6}" srcOrd="1" destOrd="0" presId="urn:microsoft.com/office/officeart/2008/layout/IncreasingCircleProcess"/>
    <dgm:cxn modelId="{8A7CC624-5067-6043-8C55-FA1969DA77A9}" type="presParOf" srcId="{C087EEA8-4C4C-1843-972C-01AC3B857359}" destId="{CD402296-035F-434A-A9F1-CBA223EC9B9A}" srcOrd="2" destOrd="0" presId="urn:microsoft.com/office/officeart/2008/layout/IncreasingCircleProcess"/>
    <dgm:cxn modelId="{996BF241-C51C-894B-9B58-56FEEA4FB95F}" type="presParOf" srcId="{C087EEA8-4C4C-1843-972C-01AC3B857359}" destId="{7A083FDC-E9BB-6440-889D-3774DA820648}" srcOrd="3" destOrd="0" presId="urn:microsoft.com/office/officeart/2008/layout/IncreasingCircleProcess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C2F1D55A-00BB-BF49-8B2F-D9D4FF77B410}" type="doc">
      <dgm:prSet loTypeId="urn:microsoft.com/office/officeart/2008/layout/IncreasingCircleProcess" loCatId="" qsTypeId="urn:microsoft.com/office/officeart/2005/8/quickstyle/simple4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B2C64979-F3E1-F04E-941A-F1946A6108BA}">
      <dgm:prSet phldrT="[Text]" custT="1"/>
      <dgm:spPr/>
      <dgm:t>
        <a:bodyPr/>
        <a:lstStyle/>
        <a:p>
          <a:r>
            <a:rPr lang="en-US" sz="4000"/>
            <a:t>LEVEL 3</a:t>
          </a:r>
        </a:p>
      </dgm:t>
    </dgm:pt>
    <dgm:pt modelId="{8DFD79DE-113A-BF4B-B053-6352631A164A}" type="parTrans" cxnId="{25348D3F-C99B-2B44-8E65-6C649DB8F47F}">
      <dgm:prSet/>
      <dgm:spPr/>
      <dgm:t>
        <a:bodyPr/>
        <a:lstStyle/>
        <a:p>
          <a:endParaRPr lang="en-US"/>
        </a:p>
      </dgm:t>
    </dgm:pt>
    <dgm:pt modelId="{EB430C93-659B-6C47-8D39-B74A2F593910}" type="sibTrans" cxnId="{25348D3F-C99B-2B44-8E65-6C649DB8F47F}">
      <dgm:prSet/>
      <dgm:spPr/>
      <dgm:t>
        <a:bodyPr/>
        <a:lstStyle/>
        <a:p>
          <a:endParaRPr lang="en-US"/>
        </a:p>
      </dgm:t>
    </dgm:pt>
    <dgm:pt modelId="{EB8A5A89-8231-4B43-8999-2086D0D6E231}">
      <dgm:prSet phldrT="[Text]" custT="1"/>
      <dgm:spPr/>
      <dgm:t>
        <a:bodyPr/>
        <a:lstStyle/>
        <a:p>
          <a:endParaRPr lang="en-US" sz="2000" b="1"/>
        </a:p>
        <a:p>
          <a:endParaRPr lang="en-US" sz="2000" b="1"/>
        </a:p>
        <a:p>
          <a:r>
            <a:rPr lang="en-US" sz="2000" b="1"/>
            <a:t>Seven Night Minimum</a:t>
          </a:r>
          <a:endParaRPr lang="en-US" sz="2000"/>
        </a:p>
      </dgm:t>
    </dgm:pt>
    <dgm:pt modelId="{BD43C7DB-388D-784F-8E15-34CEF6C9622F}" type="parTrans" cxnId="{88EB3006-9393-1848-B72E-089EE74E4140}">
      <dgm:prSet/>
      <dgm:spPr/>
      <dgm:t>
        <a:bodyPr/>
        <a:lstStyle/>
        <a:p>
          <a:endParaRPr lang="en-US"/>
        </a:p>
      </dgm:t>
    </dgm:pt>
    <dgm:pt modelId="{2849273E-06D3-394C-BF44-5DCE7660D0DE}" type="sibTrans" cxnId="{88EB3006-9393-1848-B72E-089EE74E4140}">
      <dgm:prSet/>
      <dgm:spPr/>
      <dgm:t>
        <a:bodyPr/>
        <a:lstStyle/>
        <a:p>
          <a:endParaRPr lang="en-US"/>
        </a:p>
      </dgm:t>
    </dgm:pt>
    <dgm:pt modelId="{8BCC58AC-2E93-F241-8CBE-EDD13B3A0AB1}">
      <dgm:prSet custT="1"/>
      <dgm:spPr/>
      <dgm:t>
        <a:bodyPr/>
        <a:lstStyle/>
        <a:p>
          <a:endParaRPr lang="en-US" sz="1600"/>
        </a:p>
      </dgm:t>
    </dgm:pt>
    <dgm:pt modelId="{BE8EAA65-A547-C542-98D5-2C2EE511C1F8}" type="parTrans" cxnId="{F56CF8BF-72A4-C54C-A5DC-5C959EF8B4F9}">
      <dgm:prSet/>
      <dgm:spPr/>
      <dgm:t>
        <a:bodyPr/>
        <a:lstStyle/>
        <a:p>
          <a:endParaRPr lang="en-US"/>
        </a:p>
      </dgm:t>
    </dgm:pt>
    <dgm:pt modelId="{C8507F9E-D786-194E-A5FE-EF5511FB37C8}" type="sibTrans" cxnId="{F56CF8BF-72A4-C54C-A5DC-5C959EF8B4F9}">
      <dgm:prSet/>
      <dgm:spPr/>
      <dgm:t>
        <a:bodyPr/>
        <a:lstStyle/>
        <a:p>
          <a:endParaRPr lang="en-US"/>
        </a:p>
      </dgm:t>
    </dgm:pt>
    <dgm:pt modelId="{84AA52D5-BF22-4C41-80B3-440C44C2C352}">
      <dgm:prSet custT="1"/>
      <dgm:spPr/>
      <dgm:t>
        <a:bodyPr/>
        <a:lstStyle/>
        <a:p>
          <a:r>
            <a:rPr lang="en-US" sz="1600" i="1"/>
            <a:t>.</a:t>
          </a:r>
        </a:p>
      </dgm:t>
    </dgm:pt>
    <dgm:pt modelId="{7FD09B35-A05F-AB43-A640-CF9C512D0C53}" type="parTrans" cxnId="{3241A489-4A62-5645-ACBD-86C53678344B}">
      <dgm:prSet/>
      <dgm:spPr/>
      <dgm:t>
        <a:bodyPr/>
        <a:lstStyle/>
        <a:p>
          <a:endParaRPr lang="en-US"/>
        </a:p>
      </dgm:t>
    </dgm:pt>
    <dgm:pt modelId="{B8C5B90E-9A34-BC49-A6D9-FFC2602736C0}" type="sibTrans" cxnId="{3241A489-4A62-5645-ACBD-86C53678344B}">
      <dgm:prSet/>
      <dgm:spPr/>
      <dgm:t>
        <a:bodyPr/>
        <a:lstStyle/>
        <a:p>
          <a:endParaRPr lang="en-US"/>
        </a:p>
      </dgm:t>
    </dgm:pt>
    <dgm:pt modelId="{15A83397-5C1D-46C7-B2C8-AC4ED3ED7CEA}">
      <dgm:prSet custT="1"/>
      <dgm:spPr/>
      <dgm:t>
        <a:bodyPr/>
        <a:lstStyle/>
        <a:p>
          <a:r>
            <a:rPr lang="en-US" sz="2000" b="1"/>
            <a:t>Five Days Morning Two Tank Boat Dive</a:t>
          </a:r>
        </a:p>
      </dgm:t>
    </dgm:pt>
    <dgm:pt modelId="{AEEE737B-5B2C-4B2A-ACEE-D090436084B1}" type="parTrans" cxnId="{0A3ABCA3-04C8-4A6A-9664-FEAD7C0BB263}">
      <dgm:prSet/>
      <dgm:spPr/>
      <dgm:t>
        <a:bodyPr/>
        <a:lstStyle/>
        <a:p>
          <a:endParaRPr lang="en-US"/>
        </a:p>
      </dgm:t>
    </dgm:pt>
    <dgm:pt modelId="{1D26F8AB-1F6A-48E0-A670-78095DA4D47C}" type="sibTrans" cxnId="{0A3ABCA3-04C8-4A6A-9664-FEAD7C0BB263}">
      <dgm:prSet/>
      <dgm:spPr/>
      <dgm:t>
        <a:bodyPr/>
        <a:lstStyle/>
        <a:p>
          <a:endParaRPr lang="en-US"/>
        </a:p>
      </dgm:t>
    </dgm:pt>
    <dgm:pt modelId="{7A1DDD5C-BB1A-446D-84F2-2DA04A796909}">
      <dgm:prSet custT="1"/>
      <dgm:spPr/>
      <dgm:t>
        <a:bodyPr/>
        <a:lstStyle/>
        <a:p>
          <a:r>
            <a:rPr lang="en-US" sz="2000" b="1"/>
            <a:t>Reflects a 30% discount off Room and Dive</a:t>
          </a:r>
        </a:p>
      </dgm:t>
    </dgm:pt>
    <dgm:pt modelId="{96214DC6-57C0-44B1-8040-32ECCAB79F95}" type="parTrans" cxnId="{07249D4C-B25D-4A72-B1D6-AABAD87A899D}">
      <dgm:prSet/>
      <dgm:spPr/>
      <dgm:t>
        <a:bodyPr/>
        <a:lstStyle/>
        <a:p>
          <a:endParaRPr lang="en-US"/>
        </a:p>
      </dgm:t>
    </dgm:pt>
    <dgm:pt modelId="{80E68533-FA2D-49B8-A6E4-ECC9E8B55640}" type="sibTrans" cxnId="{07249D4C-B25D-4A72-B1D6-AABAD87A899D}">
      <dgm:prSet/>
      <dgm:spPr/>
      <dgm:t>
        <a:bodyPr/>
        <a:lstStyle/>
        <a:p>
          <a:endParaRPr lang="en-US"/>
        </a:p>
      </dgm:t>
    </dgm:pt>
    <dgm:pt modelId="{D27526D7-2A23-46E8-8C9C-FD99E62149CE}">
      <dgm:prSet custT="1"/>
      <dgm:spPr/>
      <dgm:t>
        <a:bodyPr/>
        <a:lstStyle/>
        <a:p>
          <a:r>
            <a:rPr lang="en-US" sz="2000" b="1"/>
            <a:t>9:1  - 14:2 Comp Spot</a:t>
          </a:r>
        </a:p>
      </dgm:t>
    </dgm:pt>
    <dgm:pt modelId="{6936C25B-D044-4A41-8F37-30CBAACC2853}" type="parTrans" cxnId="{F971D150-AD4C-4F80-9EDC-CF9ACECCCFB0}">
      <dgm:prSet/>
      <dgm:spPr/>
      <dgm:t>
        <a:bodyPr/>
        <a:lstStyle/>
        <a:p>
          <a:endParaRPr lang="en-US"/>
        </a:p>
      </dgm:t>
    </dgm:pt>
    <dgm:pt modelId="{053E5BEC-04E1-4BAC-88AC-BD6F07D34666}" type="sibTrans" cxnId="{F971D150-AD4C-4F80-9EDC-CF9ACECCCFB0}">
      <dgm:prSet/>
      <dgm:spPr/>
      <dgm:t>
        <a:bodyPr/>
        <a:lstStyle/>
        <a:p>
          <a:endParaRPr lang="en-US"/>
        </a:p>
      </dgm:t>
    </dgm:pt>
    <dgm:pt modelId="{B84665E7-9A68-4915-A510-A7C084331230}">
      <dgm:prSet custT="1"/>
      <dgm:spPr/>
      <dgm:t>
        <a:bodyPr/>
        <a:lstStyle/>
        <a:p>
          <a:r>
            <a:rPr lang="en-US" sz="2000" b="1"/>
            <a:t>Transfers/Breakfast</a:t>
          </a:r>
        </a:p>
      </dgm:t>
    </dgm:pt>
    <dgm:pt modelId="{928A1E9E-7F80-4460-8730-455877B796FC}" type="parTrans" cxnId="{240CCE67-99AA-441C-AC4B-CBAFFA9A8A37}">
      <dgm:prSet/>
      <dgm:spPr/>
      <dgm:t>
        <a:bodyPr/>
        <a:lstStyle/>
        <a:p>
          <a:endParaRPr lang="en-US"/>
        </a:p>
      </dgm:t>
    </dgm:pt>
    <dgm:pt modelId="{E5582532-0AC6-4324-941E-186449D51600}" type="sibTrans" cxnId="{240CCE67-99AA-441C-AC4B-CBAFFA9A8A37}">
      <dgm:prSet/>
      <dgm:spPr/>
      <dgm:t>
        <a:bodyPr/>
        <a:lstStyle/>
        <a:p>
          <a:endParaRPr lang="en-US"/>
        </a:p>
      </dgm:t>
    </dgm:pt>
    <dgm:pt modelId="{49433C14-F3B9-4597-9270-10F2EBE67DA6}">
      <dgm:prSet custT="1"/>
      <dgm:spPr/>
      <dgm:t>
        <a:bodyPr/>
        <a:lstStyle/>
        <a:p>
          <a:r>
            <a:rPr lang="en-US" sz="2000" b="1"/>
            <a:t>Tax and Service</a:t>
          </a:r>
        </a:p>
      </dgm:t>
    </dgm:pt>
    <dgm:pt modelId="{D94857D5-5C5E-495D-A63A-B6D9F8309737}" type="parTrans" cxnId="{E0C7335F-B617-4B99-80EE-13D7F5ADF8B9}">
      <dgm:prSet/>
      <dgm:spPr/>
      <dgm:t>
        <a:bodyPr/>
        <a:lstStyle/>
        <a:p>
          <a:endParaRPr lang="en-US"/>
        </a:p>
      </dgm:t>
    </dgm:pt>
    <dgm:pt modelId="{5F1C2377-8072-49D3-ABBD-5105FC595FFB}" type="sibTrans" cxnId="{E0C7335F-B617-4B99-80EE-13D7F5ADF8B9}">
      <dgm:prSet/>
      <dgm:spPr/>
      <dgm:t>
        <a:bodyPr/>
        <a:lstStyle/>
        <a:p>
          <a:endParaRPr lang="en-US"/>
        </a:p>
      </dgm:t>
    </dgm:pt>
    <dgm:pt modelId="{F0C7244C-4B4A-4701-96B2-BB6C591AC4DE}">
      <dgm:prSet custT="1"/>
      <dgm:spPr/>
      <dgm:t>
        <a:bodyPr/>
        <a:lstStyle/>
        <a:p>
          <a:endParaRPr lang="en-US" sz="2000" b="1"/>
        </a:p>
      </dgm:t>
    </dgm:pt>
    <dgm:pt modelId="{64D68B95-6A73-422E-9320-7D22E57934A4}" type="parTrans" cxnId="{8941B05F-3215-48E5-AB63-9577900E798F}">
      <dgm:prSet/>
      <dgm:spPr/>
      <dgm:t>
        <a:bodyPr/>
        <a:lstStyle/>
        <a:p>
          <a:endParaRPr lang="en-US"/>
        </a:p>
      </dgm:t>
    </dgm:pt>
    <dgm:pt modelId="{9FBF150A-8B3A-4799-868D-D0EE5CF6C77F}" type="sibTrans" cxnId="{8941B05F-3215-48E5-AB63-9577900E798F}">
      <dgm:prSet/>
      <dgm:spPr/>
      <dgm:t>
        <a:bodyPr/>
        <a:lstStyle/>
        <a:p>
          <a:endParaRPr lang="en-US"/>
        </a:p>
      </dgm:t>
    </dgm:pt>
    <dgm:pt modelId="{51F49673-4173-4B95-8AD7-E1F3F1AD08DB}">
      <dgm:prSet custT="1"/>
      <dgm:spPr/>
      <dgm:t>
        <a:bodyPr/>
        <a:lstStyle/>
        <a:p>
          <a:r>
            <a:rPr lang="en-US" sz="2000" b="1"/>
            <a:t>Incentives:</a:t>
          </a:r>
        </a:p>
      </dgm:t>
    </dgm:pt>
    <dgm:pt modelId="{751B5FAE-602F-43AD-B63E-A6052DA6C761}" type="parTrans" cxnId="{B923EAC1-613F-4422-BD52-EB78CC76493E}">
      <dgm:prSet/>
      <dgm:spPr/>
      <dgm:t>
        <a:bodyPr/>
        <a:lstStyle/>
        <a:p>
          <a:endParaRPr lang="en-US"/>
        </a:p>
      </dgm:t>
    </dgm:pt>
    <dgm:pt modelId="{CB71D00F-6CD7-4C2A-9280-4D52CB1B4735}" type="sibTrans" cxnId="{B923EAC1-613F-4422-BD52-EB78CC76493E}">
      <dgm:prSet/>
      <dgm:spPr/>
      <dgm:t>
        <a:bodyPr/>
        <a:lstStyle/>
        <a:p>
          <a:endParaRPr lang="en-US"/>
        </a:p>
      </dgm:t>
    </dgm:pt>
    <dgm:pt modelId="{CC2EEC7E-6062-47A2-8BEC-A344D5A967A5}">
      <dgm:prSet custT="1"/>
      <dgm:spPr/>
      <dgm:t>
        <a:bodyPr/>
        <a:lstStyle/>
        <a:p>
          <a:r>
            <a:rPr lang="en-US" sz="2000" b="1"/>
            <a:t>Group of 16 or more </a:t>
          </a:r>
        </a:p>
      </dgm:t>
    </dgm:pt>
    <dgm:pt modelId="{4D79AEE3-1B61-445C-8CDD-09DB94FC6212}" type="parTrans" cxnId="{023D2B99-6A9A-40BF-A4EF-303A48D287BB}">
      <dgm:prSet/>
      <dgm:spPr/>
      <dgm:t>
        <a:bodyPr/>
        <a:lstStyle/>
        <a:p>
          <a:endParaRPr lang="en-GB"/>
        </a:p>
      </dgm:t>
    </dgm:pt>
    <dgm:pt modelId="{785F8A6E-10EC-4C0D-87A2-A6BCF8FB2109}" type="sibTrans" cxnId="{023D2B99-6A9A-40BF-A4EF-303A48D287BB}">
      <dgm:prSet/>
      <dgm:spPr/>
      <dgm:t>
        <a:bodyPr/>
        <a:lstStyle/>
        <a:p>
          <a:endParaRPr lang="en-GB"/>
        </a:p>
      </dgm:t>
    </dgm:pt>
    <dgm:pt modelId="{02299903-A905-4E82-8D14-25DC2B8CA0CA}">
      <dgm:prSet custT="1"/>
      <dgm:spPr/>
      <dgm:t>
        <a:bodyPr/>
        <a:lstStyle/>
        <a:p>
          <a:r>
            <a:rPr lang="en-US" sz="2000" b="1"/>
            <a:t>Kittiwake (on morning two tank)</a:t>
          </a:r>
        </a:p>
      </dgm:t>
    </dgm:pt>
    <dgm:pt modelId="{D1D46997-289B-4A04-A84C-8230188DCA73}" type="parTrans" cxnId="{5AC04583-2ECD-47C5-A9F3-A2BD6D90F51A}">
      <dgm:prSet/>
      <dgm:spPr/>
      <dgm:t>
        <a:bodyPr/>
        <a:lstStyle/>
        <a:p>
          <a:endParaRPr lang="en-GB"/>
        </a:p>
      </dgm:t>
    </dgm:pt>
    <dgm:pt modelId="{52C0596A-6D59-411F-9805-47846C38F1C6}" type="sibTrans" cxnId="{5AC04583-2ECD-47C5-A9F3-A2BD6D90F51A}">
      <dgm:prSet/>
      <dgm:spPr/>
      <dgm:t>
        <a:bodyPr/>
        <a:lstStyle/>
        <a:p>
          <a:endParaRPr lang="en-GB"/>
        </a:p>
      </dgm:t>
    </dgm:pt>
    <dgm:pt modelId="{CA5B89EC-8121-4284-97D1-A604143DF1F8}">
      <dgm:prSet custT="1"/>
      <dgm:spPr/>
      <dgm:t>
        <a:bodyPr/>
        <a:lstStyle/>
        <a:p>
          <a:r>
            <a:rPr lang="en-US" sz="2000" b="1"/>
            <a:t>Stingray City (on morning two tank)</a:t>
          </a:r>
        </a:p>
      </dgm:t>
    </dgm:pt>
    <dgm:pt modelId="{73E17A9C-2FD4-4BEF-9691-E132663AF6DE}" type="parTrans" cxnId="{616EE17B-6987-40A7-9297-5E66EA9FE19D}">
      <dgm:prSet/>
      <dgm:spPr/>
      <dgm:t>
        <a:bodyPr/>
        <a:lstStyle/>
        <a:p>
          <a:endParaRPr lang="en-GB"/>
        </a:p>
      </dgm:t>
    </dgm:pt>
    <dgm:pt modelId="{37343B78-9A67-4DDC-8B53-77E9E1673943}" type="sibTrans" cxnId="{616EE17B-6987-40A7-9297-5E66EA9FE19D}">
      <dgm:prSet/>
      <dgm:spPr/>
      <dgm:t>
        <a:bodyPr/>
        <a:lstStyle/>
        <a:p>
          <a:endParaRPr lang="en-GB"/>
        </a:p>
      </dgm:t>
    </dgm:pt>
    <dgm:pt modelId="{5DB52E5A-5EEB-46C2-899F-A6BBC3BE7022}">
      <dgm:prSet custT="1"/>
      <dgm:spPr/>
      <dgm:t>
        <a:bodyPr/>
        <a:lstStyle/>
        <a:p>
          <a:r>
            <a:rPr lang="en-US" sz="2000" b="1"/>
            <a:t>Own Boat</a:t>
          </a:r>
        </a:p>
      </dgm:t>
    </dgm:pt>
    <dgm:pt modelId="{72605879-8975-4181-8064-77DC6D4D9D16}" type="parTrans" cxnId="{54093689-041F-4BB0-B7F4-35D043814227}">
      <dgm:prSet/>
      <dgm:spPr/>
      <dgm:t>
        <a:bodyPr/>
        <a:lstStyle/>
        <a:p>
          <a:endParaRPr lang="en-GB"/>
        </a:p>
      </dgm:t>
    </dgm:pt>
    <dgm:pt modelId="{397FC036-CEEB-4696-A4E9-44235D715E35}" type="sibTrans" cxnId="{54093689-041F-4BB0-B7F4-35D043814227}">
      <dgm:prSet/>
      <dgm:spPr/>
      <dgm:t>
        <a:bodyPr/>
        <a:lstStyle/>
        <a:p>
          <a:endParaRPr lang="en-GB"/>
        </a:p>
      </dgm:t>
    </dgm:pt>
    <dgm:pt modelId="{7BCD5C21-1660-4DA9-B907-E17D701675BF}">
      <dgm:prSet custT="1"/>
      <dgm:spPr/>
      <dgm:t>
        <a:bodyPr/>
        <a:lstStyle/>
        <a:p>
          <a:r>
            <a:rPr lang="en-US" sz="2000" b="1"/>
            <a:t>(Kittiwake &amp; Stingray City are weather permitting)</a:t>
          </a:r>
          <a:endParaRPr lang="en-GB" sz="2000"/>
        </a:p>
      </dgm:t>
    </dgm:pt>
    <dgm:pt modelId="{935318C2-FDC0-4458-B89A-02D8AF5E034E}" type="parTrans" cxnId="{32B3E4B5-3665-4EDC-B8B1-A9C2D5EBDA3D}">
      <dgm:prSet/>
      <dgm:spPr/>
      <dgm:t>
        <a:bodyPr/>
        <a:lstStyle/>
        <a:p>
          <a:endParaRPr lang="en-GB"/>
        </a:p>
      </dgm:t>
    </dgm:pt>
    <dgm:pt modelId="{958544A8-2B94-4901-A8C2-DAE197E84B2F}" type="sibTrans" cxnId="{32B3E4B5-3665-4EDC-B8B1-A9C2D5EBDA3D}">
      <dgm:prSet/>
      <dgm:spPr/>
      <dgm:t>
        <a:bodyPr/>
        <a:lstStyle/>
        <a:p>
          <a:endParaRPr lang="en-GB"/>
        </a:p>
      </dgm:t>
    </dgm:pt>
    <dgm:pt modelId="{B8B08CA3-4324-5A4E-BCFD-BF0D0749E53A}" type="pres">
      <dgm:prSet presAssocID="{C2F1D55A-00BB-BF49-8B2F-D9D4FF77B410}" presName="Name0" presStyleCnt="0">
        <dgm:presLayoutVars>
          <dgm:chMax val="7"/>
          <dgm:chPref val="7"/>
          <dgm:dir/>
          <dgm:animOne val="branch"/>
          <dgm:animLvl val="lvl"/>
        </dgm:presLayoutVars>
      </dgm:prSet>
      <dgm:spPr/>
    </dgm:pt>
    <dgm:pt modelId="{C087EEA8-4C4C-1843-972C-01AC3B857359}" type="pres">
      <dgm:prSet presAssocID="{B2C64979-F3E1-F04E-941A-F1946A6108BA}" presName="composite" presStyleCnt="0"/>
      <dgm:spPr/>
    </dgm:pt>
    <dgm:pt modelId="{5438F190-3B9F-724D-8C14-2F67C0F19C9A}" type="pres">
      <dgm:prSet presAssocID="{B2C64979-F3E1-F04E-941A-F1946A6108BA}" presName="BackAccent" presStyleLbl="bgShp" presStyleIdx="0" presStyleCnt="1"/>
      <dgm:spPr/>
    </dgm:pt>
    <dgm:pt modelId="{F2C9143E-2B83-2041-BA95-7B46801A87F6}" type="pres">
      <dgm:prSet presAssocID="{B2C64979-F3E1-F04E-941A-F1946A6108BA}" presName="Accent" presStyleLbl="alignNode1" presStyleIdx="0" presStyleCnt="1"/>
      <dgm:spPr>
        <a:solidFill>
          <a:srgbClr val="FF0000"/>
        </a:solidFill>
      </dgm:spPr>
    </dgm:pt>
    <dgm:pt modelId="{CD402296-035F-434A-A9F1-CBA223EC9B9A}" type="pres">
      <dgm:prSet presAssocID="{B2C64979-F3E1-F04E-941A-F1946A6108BA}" presName="Child" presStyleLbl="revTx" presStyleIdx="0" presStyleCnt="2" custScaleX="176099" custScaleY="150954" custLinFactNeighborX="-13308" custLinFactNeighborY="12641">
        <dgm:presLayoutVars>
          <dgm:chMax val="0"/>
          <dgm:chPref val="0"/>
          <dgm:bulletEnabled val="1"/>
        </dgm:presLayoutVars>
      </dgm:prSet>
      <dgm:spPr/>
    </dgm:pt>
    <dgm:pt modelId="{7A083FDC-E9BB-6440-889D-3774DA820648}" type="pres">
      <dgm:prSet presAssocID="{B2C64979-F3E1-F04E-941A-F1946A6108BA}" presName="Parent" presStyleLbl="revTx" presStyleIdx="1" presStyleCnt="2" custScaleY="48286">
        <dgm:presLayoutVars>
          <dgm:chMax val="1"/>
          <dgm:chPref val="1"/>
          <dgm:bulletEnabled val="1"/>
        </dgm:presLayoutVars>
      </dgm:prSet>
      <dgm:spPr/>
    </dgm:pt>
  </dgm:ptLst>
  <dgm:cxnLst>
    <dgm:cxn modelId="{88EB3006-9393-1848-B72E-089EE74E4140}" srcId="{B2C64979-F3E1-F04E-941A-F1946A6108BA}" destId="{EB8A5A89-8231-4B43-8999-2086D0D6E231}" srcOrd="0" destOrd="0" parTransId="{BD43C7DB-388D-784F-8E15-34CEF6C9622F}" sibTransId="{2849273E-06D3-394C-BF44-5DCE7660D0DE}"/>
    <dgm:cxn modelId="{357EB00E-2A22-4226-8036-C51AE9247A47}" type="presOf" srcId="{CA5B89EC-8121-4284-97D1-A604143DF1F8}" destId="{CD402296-035F-434A-A9F1-CBA223EC9B9A}" srcOrd="0" destOrd="10" presId="urn:microsoft.com/office/officeart/2008/layout/IncreasingCircleProcess"/>
    <dgm:cxn modelId="{D5C57F30-9272-4C09-AADF-E8CB02606A98}" type="presOf" srcId="{7A1DDD5C-BB1A-446D-84F2-2DA04A796909}" destId="{CD402296-035F-434A-A9F1-CBA223EC9B9A}" srcOrd="0" destOrd="2" presId="urn:microsoft.com/office/officeart/2008/layout/IncreasingCircleProcess"/>
    <dgm:cxn modelId="{25348D3F-C99B-2B44-8E65-6C649DB8F47F}" srcId="{C2F1D55A-00BB-BF49-8B2F-D9D4FF77B410}" destId="{B2C64979-F3E1-F04E-941A-F1946A6108BA}" srcOrd="0" destOrd="0" parTransId="{8DFD79DE-113A-BF4B-B053-6352631A164A}" sibTransId="{EB430C93-659B-6C47-8D39-B74A2F593910}"/>
    <dgm:cxn modelId="{78442E40-5B36-473F-94D4-851CC81F4611}" type="presOf" srcId="{F0C7244C-4B4A-4701-96B2-BB6C591AC4DE}" destId="{CD402296-035F-434A-A9F1-CBA223EC9B9A}" srcOrd="0" destOrd="6" presId="urn:microsoft.com/office/officeart/2008/layout/IncreasingCircleProcess"/>
    <dgm:cxn modelId="{E0C7335F-B617-4B99-80EE-13D7F5ADF8B9}" srcId="{D27526D7-2A23-46E8-8C9C-FD99E62149CE}" destId="{49433C14-F3B9-4597-9270-10F2EBE67DA6}" srcOrd="1" destOrd="0" parTransId="{D94857D5-5C5E-495D-A63A-B6D9F8309737}" sibTransId="{5F1C2377-8072-49D3-ABBD-5105FC595FFB}"/>
    <dgm:cxn modelId="{8941B05F-3215-48E5-AB63-9577900E798F}" srcId="{D27526D7-2A23-46E8-8C9C-FD99E62149CE}" destId="{F0C7244C-4B4A-4701-96B2-BB6C591AC4DE}" srcOrd="2" destOrd="0" parTransId="{64D68B95-6A73-422E-9320-7D22E57934A4}" sibTransId="{9FBF150A-8B3A-4799-868D-D0EE5CF6C77F}"/>
    <dgm:cxn modelId="{C049BE5F-4081-426A-BE3D-A30AAD7D4FFF}" type="presOf" srcId="{B84665E7-9A68-4915-A510-A7C084331230}" destId="{CD402296-035F-434A-A9F1-CBA223EC9B9A}" srcOrd="0" destOrd="4" presId="urn:microsoft.com/office/officeart/2008/layout/IncreasingCircleProcess"/>
    <dgm:cxn modelId="{B6380F64-2BCB-254D-BAB0-2FA026408E78}" type="presOf" srcId="{C2F1D55A-00BB-BF49-8B2F-D9D4FF77B410}" destId="{B8B08CA3-4324-5A4E-BCFD-BF0D0749E53A}" srcOrd="0" destOrd="0" presId="urn:microsoft.com/office/officeart/2008/layout/IncreasingCircleProcess"/>
    <dgm:cxn modelId="{DDCE2864-D91D-48FF-8A71-3DB92AB6D28E}" type="presOf" srcId="{5DB52E5A-5EEB-46C2-899F-A6BBC3BE7022}" destId="{CD402296-035F-434A-A9F1-CBA223EC9B9A}" srcOrd="0" destOrd="11" presId="urn:microsoft.com/office/officeart/2008/layout/IncreasingCircleProcess"/>
    <dgm:cxn modelId="{240CCE67-99AA-441C-AC4B-CBAFFA9A8A37}" srcId="{D27526D7-2A23-46E8-8C9C-FD99E62149CE}" destId="{B84665E7-9A68-4915-A510-A7C084331230}" srcOrd="0" destOrd="0" parTransId="{928A1E9E-7F80-4460-8730-455877B796FC}" sibTransId="{E5582532-0AC6-4324-941E-186449D51600}"/>
    <dgm:cxn modelId="{EDCE1768-C541-42C3-A893-E76D94C44738}" type="presOf" srcId="{CC2EEC7E-6062-47A2-8BEC-A344D5A967A5}" destId="{CD402296-035F-434A-A9F1-CBA223EC9B9A}" srcOrd="0" destOrd="8" presId="urn:microsoft.com/office/officeart/2008/layout/IncreasingCircleProcess"/>
    <dgm:cxn modelId="{07249D4C-B25D-4A72-B1D6-AABAD87A899D}" srcId="{B2C64979-F3E1-F04E-941A-F1946A6108BA}" destId="{7A1DDD5C-BB1A-446D-84F2-2DA04A796909}" srcOrd="2" destOrd="0" parTransId="{96214DC6-57C0-44B1-8040-32ECCAB79F95}" sibTransId="{80E68533-FA2D-49B8-A6E4-ECC9E8B55640}"/>
    <dgm:cxn modelId="{CF7DCF50-5168-4E60-989B-C5716D94F6E5}" type="presOf" srcId="{15A83397-5C1D-46C7-B2C8-AC4ED3ED7CEA}" destId="{CD402296-035F-434A-A9F1-CBA223EC9B9A}" srcOrd="0" destOrd="1" presId="urn:microsoft.com/office/officeart/2008/layout/IncreasingCircleProcess"/>
    <dgm:cxn modelId="{F971D150-AD4C-4F80-9EDC-CF9ACECCCFB0}" srcId="{B2C64979-F3E1-F04E-941A-F1946A6108BA}" destId="{D27526D7-2A23-46E8-8C9C-FD99E62149CE}" srcOrd="3" destOrd="0" parTransId="{6936C25B-D044-4A41-8F37-30CBAACC2853}" sibTransId="{053E5BEC-04E1-4BAC-88AC-BD6F07D34666}"/>
    <dgm:cxn modelId="{616EE17B-6987-40A7-9297-5E66EA9FE19D}" srcId="{CC2EEC7E-6062-47A2-8BEC-A344D5A967A5}" destId="{CA5B89EC-8121-4284-97D1-A604143DF1F8}" srcOrd="1" destOrd="0" parTransId="{73E17A9C-2FD4-4BEF-9691-E132663AF6DE}" sibTransId="{37343B78-9A67-4DDC-8B53-77E9E1673943}"/>
    <dgm:cxn modelId="{24883E80-A5DC-8948-8CB2-41C2B2BAC1D6}" type="presOf" srcId="{B2C64979-F3E1-F04E-941A-F1946A6108BA}" destId="{7A083FDC-E9BB-6440-889D-3774DA820648}" srcOrd="0" destOrd="0" presId="urn:microsoft.com/office/officeart/2008/layout/IncreasingCircleProcess"/>
    <dgm:cxn modelId="{5AC04583-2ECD-47C5-A9F3-A2BD6D90F51A}" srcId="{CC2EEC7E-6062-47A2-8BEC-A344D5A967A5}" destId="{02299903-A905-4E82-8D14-25DC2B8CA0CA}" srcOrd="0" destOrd="0" parTransId="{D1D46997-289B-4A04-A84C-8230188DCA73}" sibTransId="{52C0596A-6D59-411F-9805-47846C38F1C6}"/>
    <dgm:cxn modelId="{54093689-041F-4BB0-B7F4-35D043814227}" srcId="{CC2EEC7E-6062-47A2-8BEC-A344D5A967A5}" destId="{5DB52E5A-5EEB-46C2-899F-A6BBC3BE7022}" srcOrd="2" destOrd="0" parTransId="{72605879-8975-4181-8064-77DC6D4D9D16}" sibTransId="{397FC036-CEEB-4696-A4E9-44235D715E35}"/>
    <dgm:cxn modelId="{3241A489-4A62-5645-ACBD-86C53678344B}" srcId="{B2C64979-F3E1-F04E-941A-F1946A6108BA}" destId="{84AA52D5-BF22-4C41-80B3-440C44C2C352}" srcOrd="8" destOrd="0" parTransId="{7FD09B35-A05F-AB43-A640-CF9C512D0C53}" sibTransId="{B8C5B90E-9A34-BC49-A6D9-FFC2602736C0}"/>
    <dgm:cxn modelId="{E09C598C-767B-4B38-A006-225E383289C8}" type="presOf" srcId="{49433C14-F3B9-4597-9270-10F2EBE67DA6}" destId="{CD402296-035F-434A-A9F1-CBA223EC9B9A}" srcOrd="0" destOrd="5" presId="urn:microsoft.com/office/officeart/2008/layout/IncreasingCircleProcess"/>
    <dgm:cxn modelId="{023D2B99-6A9A-40BF-A4EF-303A48D287BB}" srcId="{B2C64979-F3E1-F04E-941A-F1946A6108BA}" destId="{CC2EEC7E-6062-47A2-8BEC-A344D5A967A5}" srcOrd="5" destOrd="0" parTransId="{4D79AEE3-1B61-445C-8CDD-09DB94FC6212}" sibTransId="{785F8A6E-10EC-4C0D-87A2-A6BCF8FB2109}"/>
    <dgm:cxn modelId="{8FE7889B-74DF-4AA1-A8A5-4569A7600B27}" type="presOf" srcId="{51F49673-4173-4B95-8AD7-E1F3F1AD08DB}" destId="{CD402296-035F-434A-A9F1-CBA223EC9B9A}" srcOrd="0" destOrd="7" presId="urn:microsoft.com/office/officeart/2008/layout/IncreasingCircleProcess"/>
    <dgm:cxn modelId="{F6509EA3-A032-9C4B-AB15-D4A258782189}" type="presOf" srcId="{84AA52D5-BF22-4C41-80B3-440C44C2C352}" destId="{CD402296-035F-434A-A9F1-CBA223EC9B9A}" srcOrd="0" destOrd="14" presId="urn:microsoft.com/office/officeart/2008/layout/IncreasingCircleProcess"/>
    <dgm:cxn modelId="{0A3ABCA3-04C8-4A6A-9664-FEAD7C0BB263}" srcId="{B2C64979-F3E1-F04E-941A-F1946A6108BA}" destId="{15A83397-5C1D-46C7-B2C8-AC4ED3ED7CEA}" srcOrd="1" destOrd="0" parTransId="{AEEE737B-5B2C-4B2A-ACEE-D090436084B1}" sibTransId="{1D26F8AB-1F6A-48E0-A670-78095DA4D47C}"/>
    <dgm:cxn modelId="{21BA64B4-4397-5747-999F-C3100ACA9DFF}" type="presOf" srcId="{EB8A5A89-8231-4B43-8999-2086D0D6E231}" destId="{CD402296-035F-434A-A9F1-CBA223EC9B9A}" srcOrd="0" destOrd="0" presId="urn:microsoft.com/office/officeart/2008/layout/IncreasingCircleProcess"/>
    <dgm:cxn modelId="{32B3E4B5-3665-4EDC-B8B1-A9C2D5EBDA3D}" srcId="{B2C64979-F3E1-F04E-941A-F1946A6108BA}" destId="{7BCD5C21-1660-4DA9-B907-E17D701675BF}" srcOrd="6" destOrd="0" parTransId="{935318C2-FDC0-4458-B89A-02D8AF5E034E}" sibTransId="{958544A8-2B94-4901-A8C2-DAE197E84B2F}"/>
    <dgm:cxn modelId="{A95E34BD-8B1A-4019-8842-B34E6353D54D}" type="presOf" srcId="{D27526D7-2A23-46E8-8C9C-FD99E62149CE}" destId="{CD402296-035F-434A-A9F1-CBA223EC9B9A}" srcOrd="0" destOrd="3" presId="urn:microsoft.com/office/officeart/2008/layout/IncreasingCircleProcess"/>
    <dgm:cxn modelId="{F56CF8BF-72A4-C54C-A5DC-5C959EF8B4F9}" srcId="{B2C64979-F3E1-F04E-941A-F1946A6108BA}" destId="{8BCC58AC-2E93-F241-8CBE-EDD13B3A0AB1}" srcOrd="7" destOrd="0" parTransId="{BE8EAA65-A547-C542-98D5-2C2EE511C1F8}" sibTransId="{C8507F9E-D786-194E-A5FE-EF5511FB37C8}"/>
    <dgm:cxn modelId="{B923EAC1-613F-4422-BD52-EB78CC76493E}" srcId="{B2C64979-F3E1-F04E-941A-F1946A6108BA}" destId="{51F49673-4173-4B95-8AD7-E1F3F1AD08DB}" srcOrd="4" destOrd="0" parTransId="{751B5FAE-602F-43AD-B63E-A6052DA6C761}" sibTransId="{CB71D00F-6CD7-4C2A-9280-4D52CB1B4735}"/>
    <dgm:cxn modelId="{39A9F9D3-B8AA-4784-A4FC-4D070CF899D8}" type="presOf" srcId="{02299903-A905-4E82-8D14-25DC2B8CA0CA}" destId="{CD402296-035F-434A-A9F1-CBA223EC9B9A}" srcOrd="0" destOrd="9" presId="urn:microsoft.com/office/officeart/2008/layout/IncreasingCircleProcess"/>
    <dgm:cxn modelId="{B2527FEC-A7A0-4F48-9CC1-F883E96BDABD}" type="presOf" srcId="{8BCC58AC-2E93-F241-8CBE-EDD13B3A0AB1}" destId="{CD402296-035F-434A-A9F1-CBA223EC9B9A}" srcOrd="0" destOrd="13" presId="urn:microsoft.com/office/officeart/2008/layout/IncreasingCircleProcess"/>
    <dgm:cxn modelId="{2F688CEC-A455-48B9-8FF3-95DAD94692BE}" type="presOf" srcId="{7BCD5C21-1660-4DA9-B907-E17D701675BF}" destId="{CD402296-035F-434A-A9F1-CBA223EC9B9A}" srcOrd="0" destOrd="12" presId="urn:microsoft.com/office/officeart/2008/layout/IncreasingCircleProcess"/>
    <dgm:cxn modelId="{867F3B43-86E0-CF44-9DA4-3154DC885B9F}" type="presParOf" srcId="{B8B08CA3-4324-5A4E-BCFD-BF0D0749E53A}" destId="{C087EEA8-4C4C-1843-972C-01AC3B857359}" srcOrd="0" destOrd="0" presId="urn:microsoft.com/office/officeart/2008/layout/IncreasingCircleProcess"/>
    <dgm:cxn modelId="{7FC8391C-90DF-6648-A627-649B30044675}" type="presParOf" srcId="{C087EEA8-4C4C-1843-972C-01AC3B857359}" destId="{5438F190-3B9F-724D-8C14-2F67C0F19C9A}" srcOrd="0" destOrd="0" presId="urn:microsoft.com/office/officeart/2008/layout/IncreasingCircleProcess"/>
    <dgm:cxn modelId="{2EB4E761-CF22-FC45-8E62-0CD6786E5E94}" type="presParOf" srcId="{C087EEA8-4C4C-1843-972C-01AC3B857359}" destId="{F2C9143E-2B83-2041-BA95-7B46801A87F6}" srcOrd="1" destOrd="0" presId="urn:microsoft.com/office/officeart/2008/layout/IncreasingCircleProcess"/>
    <dgm:cxn modelId="{5A1F1F67-7760-1E45-84C0-FFD1C0371170}" type="presParOf" srcId="{C087EEA8-4C4C-1843-972C-01AC3B857359}" destId="{CD402296-035F-434A-A9F1-CBA223EC9B9A}" srcOrd="2" destOrd="0" presId="urn:microsoft.com/office/officeart/2008/layout/IncreasingCircleProcess"/>
    <dgm:cxn modelId="{90EA940B-C706-6D48-9762-554DFC4252D1}" type="presParOf" srcId="{C087EEA8-4C4C-1843-972C-01AC3B857359}" destId="{7A083FDC-E9BB-6440-889D-3774DA820648}" srcOrd="3" destOrd="0" presId="urn:microsoft.com/office/officeart/2008/layout/IncreasingCircleProcess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C2F1D55A-00BB-BF49-8B2F-D9D4FF77B410}" type="doc">
      <dgm:prSet loTypeId="urn:microsoft.com/office/officeart/2008/layout/IncreasingCircleProcess" loCatId="" qsTypeId="urn:microsoft.com/office/officeart/2005/8/quickstyle/simple4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B2C64979-F3E1-F04E-941A-F1946A6108BA}">
      <dgm:prSet phldrT="[Text]" custT="1"/>
      <dgm:spPr/>
      <dgm:t>
        <a:bodyPr/>
        <a:lstStyle/>
        <a:p>
          <a:r>
            <a:rPr lang="en-US" sz="4000"/>
            <a:t>LEVEL 1</a:t>
          </a:r>
        </a:p>
      </dgm:t>
    </dgm:pt>
    <dgm:pt modelId="{8DFD79DE-113A-BF4B-B053-6352631A164A}" type="parTrans" cxnId="{25348D3F-C99B-2B44-8E65-6C649DB8F47F}">
      <dgm:prSet/>
      <dgm:spPr/>
      <dgm:t>
        <a:bodyPr/>
        <a:lstStyle/>
        <a:p>
          <a:endParaRPr lang="en-US"/>
        </a:p>
      </dgm:t>
    </dgm:pt>
    <dgm:pt modelId="{EB430C93-659B-6C47-8D39-B74A2F593910}" type="sibTrans" cxnId="{25348D3F-C99B-2B44-8E65-6C649DB8F47F}">
      <dgm:prSet/>
      <dgm:spPr/>
      <dgm:t>
        <a:bodyPr/>
        <a:lstStyle/>
        <a:p>
          <a:endParaRPr lang="en-US"/>
        </a:p>
      </dgm:t>
    </dgm:pt>
    <dgm:pt modelId="{EB8A5A89-8231-4B43-8999-2086D0D6E231}">
      <dgm:prSet phldrT="[Text]" custT="1"/>
      <dgm:spPr/>
      <dgm:t>
        <a:bodyPr/>
        <a:lstStyle/>
        <a:p>
          <a:endParaRPr lang="en-US" sz="2000" b="1"/>
        </a:p>
        <a:p>
          <a:r>
            <a:rPr lang="en-US" sz="2000" b="1"/>
            <a:t>Seven Night Minimum</a:t>
          </a:r>
        </a:p>
      </dgm:t>
    </dgm:pt>
    <dgm:pt modelId="{BD43C7DB-388D-784F-8E15-34CEF6C9622F}" type="parTrans" cxnId="{88EB3006-9393-1848-B72E-089EE74E4140}">
      <dgm:prSet/>
      <dgm:spPr/>
      <dgm:t>
        <a:bodyPr/>
        <a:lstStyle/>
        <a:p>
          <a:endParaRPr lang="en-US"/>
        </a:p>
      </dgm:t>
    </dgm:pt>
    <dgm:pt modelId="{2849273E-06D3-394C-BF44-5DCE7660D0DE}" type="sibTrans" cxnId="{88EB3006-9393-1848-B72E-089EE74E4140}">
      <dgm:prSet/>
      <dgm:spPr/>
      <dgm:t>
        <a:bodyPr/>
        <a:lstStyle/>
        <a:p>
          <a:endParaRPr lang="en-US"/>
        </a:p>
      </dgm:t>
    </dgm:pt>
    <dgm:pt modelId="{43D7E713-3801-4160-B327-8ABE083C58AC}">
      <dgm:prSet custT="1"/>
      <dgm:spPr/>
      <dgm:t>
        <a:bodyPr/>
        <a:lstStyle/>
        <a:p>
          <a:r>
            <a:rPr lang="en-US" sz="2000" b="1"/>
            <a:t>Five Days Morning Two Tank Boat Dive</a:t>
          </a:r>
        </a:p>
      </dgm:t>
    </dgm:pt>
    <dgm:pt modelId="{EF1692FA-3409-482A-BDD9-59C008BEDB24}" type="parTrans" cxnId="{3026FF39-A765-4C56-A936-5100AA92941E}">
      <dgm:prSet/>
      <dgm:spPr/>
      <dgm:t>
        <a:bodyPr/>
        <a:lstStyle/>
        <a:p>
          <a:endParaRPr lang="en-US"/>
        </a:p>
      </dgm:t>
    </dgm:pt>
    <dgm:pt modelId="{38FF26EB-9755-4496-9D99-77D1481475A2}" type="sibTrans" cxnId="{3026FF39-A765-4C56-A936-5100AA92941E}">
      <dgm:prSet/>
      <dgm:spPr/>
      <dgm:t>
        <a:bodyPr/>
        <a:lstStyle/>
        <a:p>
          <a:endParaRPr lang="en-US"/>
        </a:p>
      </dgm:t>
    </dgm:pt>
    <dgm:pt modelId="{7600EEED-B167-4E76-8CB6-6CAF642B83EF}">
      <dgm:prSet custT="1"/>
      <dgm:spPr/>
      <dgm:t>
        <a:bodyPr/>
        <a:lstStyle/>
        <a:p>
          <a:r>
            <a:rPr lang="en-US" sz="2000" b="1"/>
            <a:t>Reflects a 15% discount off Room and Dive only</a:t>
          </a:r>
        </a:p>
      </dgm:t>
    </dgm:pt>
    <dgm:pt modelId="{F5846E68-53BF-492C-AF59-8239ABE5F3B6}" type="parTrans" cxnId="{763AA705-BF36-4CCA-9FDC-94B0C1FC2E3C}">
      <dgm:prSet/>
      <dgm:spPr/>
      <dgm:t>
        <a:bodyPr/>
        <a:lstStyle/>
        <a:p>
          <a:endParaRPr lang="en-US"/>
        </a:p>
      </dgm:t>
    </dgm:pt>
    <dgm:pt modelId="{56BDD546-F9AE-4B58-93B1-1EF55B5086F6}" type="sibTrans" cxnId="{763AA705-BF36-4CCA-9FDC-94B0C1FC2E3C}">
      <dgm:prSet/>
      <dgm:spPr/>
      <dgm:t>
        <a:bodyPr/>
        <a:lstStyle/>
        <a:p>
          <a:endParaRPr lang="en-US"/>
        </a:p>
      </dgm:t>
    </dgm:pt>
    <dgm:pt modelId="{E848CE54-CA21-425F-9C68-A4F68298FD31}">
      <dgm:prSet custT="1"/>
      <dgm:spPr/>
      <dgm:t>
        <a:bodyPr/>
        <a:lstStyle/>
        <a:p>
          <a:r>
            <a:rPr lang="en-US" sz="2000" b="1"/>
            <a:t>9:1  - 14:2 Comp Spot</a:t>
          </a:r>
        </a:p>
        <a:p>
          <a:r>
            <a:rPr lang="en-US" sz="2000" b="1"/>
            <a:t>Daily made to order breakfast</a:t>
          </a:r>
        </a:p>
      </dgm:t>
    </dgm:pt>
    <dgm:pt modelId="{1E08D4C8-C29C-448B-9A94-5FF1E5052D68}" type="parTrans" cxnId="{F19D8B52-DADB-47CF-8648-4B01C77B3EDA}">
      <dgm:prSet/>
      <dgm:spPr/>
      <dgm:t>
        <a:bodyPr/>
        <a:lstStyle/>
        <a:p>
          <a:endParaRPr lang="en-US"/>
        </a:p>
      </dgm:t>
    </dgm:pt>
    <dgm:pt modelId="{E2098377-0815-4F68-87E6-D83656E74438}" type="sibTrans" cxnId="{F19D8B52-DADB-47CF-8648-4B01C77B3EDA}">
      <dgm:prSet/>
      <dgm:spPr/>
      <dgm:t>
        <a:bodyPr/>
        <a:lstStyle/>
        <a:p>
          <a:endParaRPr lang="en-US"/>
        </a:p>
      </dgm:t>
    </dgm:pt>
    <dgm:pt modelId="{14AF1A96-4E4E-4448-92E0-F72848F32828}">
      <dgm:prSet custT="1"/>
      <dgm:spPr/>
      <dgm:t>
        <a:bodyPr/>
        <a:lstStyle/>
        <a:p>
          <a:r>
            <a:rPr lang="en-US" sz="2000" b="1"/>
            <a:t>Transfers</a:t>
          </a:r>
        </a:p>
      </dgm:t>
    </dgm:pt>
    <dgm:pt modelId="{EE637A70-7488-473D-B99B-803E387317A2}" type="parTrans" cxnId="{65DEB890-CDAB-4241-A685-8A50A19898E1}">
      <dgm:prSet/>
      <dgm:spPr/>
      <dgm:t>
        <a:bodyPr/>
        <a:lstStyle/>
        <a:p>
          <a:endParaRPr lang="en-US"/>
        </a:p>
      </dgm:t>
    </dgm:pt>
    <dgm:pt modelId="{87A2F1EE-35AF-409A-9051-80CB1C4AF0DD}" type="sibTrans" cxnId="{65DEB890-CDAB-4241-A685-8A50A19898E1}">
      <dgm:prSet/>
      <dgm:spPr/>
      <dgm:t>
        <a:bodyPr/>
        <a:lstStyle/>
        <a:p>
          <a:endParaRPr lang="en-US"/>
        </a:p>
      </dgm:t>
    </dgm:pt>
    <dgm:pt modelId="{CE414FF3-0621-4F81-87B2-576A656E1BE5}">
      <dgm:prSet custT="1"/>
      <dgm:spPr/>
      <dgm:t>
        <a:bodyPr/>
        <a:lstStyle/>
        <a:p>
          <a:r>
            <a:rPr lang="en-US" sz="2000" b="1"/>
            <a:t>Tax and Service</a:t>
          </a:r>
        </a:p>
      </dgm:t>
    </dgm:pt>
    <dgm:pt modelId="{F2A87388-4A5A-4059-AF40-E7C1DFA495B3}" type="parTrans" cxnId="{4244259B-95D9-402F-8A2A-A9B839C124F5}">
      <dgm:prSet/>
      <dgm:spPr/>
      <dgm:t>
        <a:bodyPr/>
        <a:lstStyle/>
        <a:p>
          <a:endParaRPr lang="en-US"/>
        </a:p>
      </dgm:t>
    </dgm:pt>
    <dgm:pt modelId="{AA2F593B-8607-47BC-BA20-C1AA3989DB78}" type="sibTrans" cxnId="{4244259B-95D9-402F-8A2A-A9B839C124F5}">
      <dgm:prSet/>
      <dgm:spPr/>
      <dgm:t>
        <a:bodyPr/>
        <a:lstStyle/>
        <a:p>
          <a:endParaRPr lang="en-US"/>
        </a:p>
      </dgm:t>
    </dgm:pt>
    <dgm:pt modelId="{FE510236-C94E-4735-9839-3B6C01F2DF54}">
      <dgm:prSet custT="1"/>
      <dgm:spPr/>
      <dgm:t>
        <a:bodyPr/>
        <a:lstStyle/>
        <a:p>
          <a:endParaRPr lang="en-US" sz="2000" b="1"/>
        </a:p>
      </dgm:t>
    </dgm:pt>
    <dgm:pt modelId="{AC9F95EE-CE50-43AA-8E68-AB2B6A2FE100}" type="parTrans" cxnId="{120C9E33-978F-4251-A838-7C51292A33D9}">
      <dgm:prSet/>
      <dgm:spPr/>
      <dgm:t>
        <a:bodyPr/>
        <a:lstStyle/>
        <a:p>
          <a:endParaRPr lang="en-US"/>
        </a:p>
      </dgm:t>
    </dgm:pt>
    <dgm:pt modelId="{E6B0407E-616A-4AC7-8A06-05B548630BB9}" type="sibTrans" cxnId="{120C9E33-978F-4251-A838-7C51292A33D9}">
      <dgm:prSet/>
      <dgm:spPr/>
      <dgm:t>
        <a:bodyPr/>
        <a:lstStyle/>
        <a:p>
          <a:endParaRPr lang="en-US"/>
        </a:p>
      </dgm:t>
    </dgm:pt>
    <dgm:pt modelId="{C1047BCD-BA58-4CBF-9946-FC8F23058F6E}">
      <dgm:prSet custT="1"/>
      <dgm:spPr/>
      <dgm:t>
        <a:bodyPr/>
        <a:lstStyle/>
        <a:p>
          <a:endParaRPr lang="en-US" sz="2000" b="1"/>
        </a:p>
      </dgm:t>
    </dgm:pt>
    <dgm:pt modelId="{588B5C83-AAA4-408F-8C95-B9F06179F6E1}" type="parTrans" cxnId="{7227935D-F15F-4CC6-8B9A-C2A678528ACF}">
      <dgm:prSet/>
      <dgm:spPr/>
      <dgm:t>
        <a:bodyPr/>
        <a:lstStyle/>
        <a:p>
          <a:endParaRPr lang="en-GB"/>
        </a:p>
      </dgm:t>
    </dgm:pt>
    <dgm:pt modelId="{A1F9928A-EED3-4AF1-830D-BEA3A5D04A79}" type="sibTrans" cxnId="{7227935D-F15F-4CC6-8B9A-C2A678528ACF}">
      <dgm:prSet/>
      <dgm:spPr/>
      <dgm:t>
        <a:bodyPr/>
        <a:lstStyle/>
        <a:p>
          <a:endParaRPr lang="en-GB"/>
        </a:p>
      </dgm:t>
    </dgm:pt>
    <dgm:pt modelId="{8FFBF943-6715-4B36-AD5C-E5F2079D59BE}">
      <dgm:prSet custT="1"/>
      <dgm:spPr/>
      <dgm:t>
        <a:bodyPr/>
        <a:lstStyle/>
        <a:p>
          <a:r>
            <a:rPr lang="en-GB" sz="1600" b="1" i="0" u="none"/>
            <a:t>PRE-DEMA</a:t>
          </a:r>
        </a:p>
        <a:p>
          <a:r>
            <a:rPr lang="en-GB" sz="1600" b="1" i="0" u="none"/>
            <a:t>Book before DEMA 2020 New Orleans Show</a:t>
          </a:r>
          <a:endParaRPr lang="en-US" sz="1600" b="1"/>
        </a:p>
      </dgm:t>
    </dgm:pt>
    <dgm:pt modelId="{7F907D34-1BE2-4C45-9EEE-165155368E22}" type="parTrans" cxnId="{FBC09DC9-9692-45F7-97BE-627860683AB4}">
      <dgm:prSet/>
      <dgm:spPr/>
      <dgm:t>
        <a:bodyPr/>
        <a:lstStyle/>
        <a:p>
          <a:endParaRPr lang="en-GB"/>
        </a:p>
      </dgm:t>
    </dgm:pt>
    <dgm:pt modelId="{B72ECF87-A47B-48DC-8770-C03A577AC094}" type="sibTrans" cxnId="{FBC09DC9-9692-45F7-97BE-627860683AB4}">
      <dgm:prSet/>
      <dgm:spPr/>
      <dgm:t>
        <a:bodyPr/>
        <a:lstStyle/>
        <a:p>
          <a:endParaRPr lang="en-GB"/>
        </a:p>
      </dgm:t>
    </dgm:pt>
    <dgm:pt modelId="{788E9595-DCCF-434E-BD36-90E356B96523}">
      <dgm:prSet custT="1"/>
      <dgm:spPr/>
      <dgm:t>
        <a:bodyPr/>
        <a:lstStyle/>
        <a:p>
          <a:r>
            <a:rPr lang="en-GB" sz="1600" b="1" i="0" u="none"/>
            <a:t>Incentives all groups</a:t>
          </a:r>
          <a:endParaRPr lang="en-GB" sz="1600"/>
        </a:p>
      </dgm:t>
    </dgm:pt>
    <dgm:pt modelId="{9560D54B-4349-430C-9B80-9118D9F10D5D}" type="parTrans" cxnId="{F9BB6496-DB00-4366-A834-AFCFA174E56D}">
      <dgm:prSet/>
      <dgm:spPr/>
      <dgm:t>
        <a:bodyPr/>
        <a:lstStyle/>
        <a:p>
          <a:endParaRPr lang="en-GB"/>
        </a:p>
      </dgm:t>
    </dgm:pt>
    <dgm:pt modelId="{0564CCA8-4D69-4AE0-9DF2-8E23512E52A0}" type="sibTrans" cxnId="{F9BB6496-DB00-4366-A834-AFCFA174E56D}">
      <dgm:prSet/>
      <dgm:spPr/>
      <dgm:t>
        <a:bodyPr/>
        <a:lstStyle/>
        <a:p>
          <a:endParaRPr lang="en-GB"/>
        </a:p>
      </dgm:t>
    </dgm:pt>
    <dgm:pt modelId="{7A146A14-73BD-41E5-83B3-F628FC52A2EA}">
      <dgm:prSet custT="1"/>
      <dgm:spPr/>
      <dgm:t>
        <a:bodyPr/>
        <a:lstStyle/>
        <a:p>
          <a:r>
            <a:rPr lang="en-GB" sz="1600" b="0" i="0" u="none"/>
            <a:t>FREE KW &amp; SRC as a 2nd dive with 16+ divers</a:t>
          </a:r>
          <a:endParaRPr lang="en-GB" sz="1600"/>
        </a:p>
      </dgm:t>
    </dgm:pt>
    <dgm:pt modelId="{B82B6CC3-0EF5-4FAD-9958-5F5E9BE38E0C}" type="parTrans" cxnId="{B6BC6F16-22C1-4078-90BC-4554318123CF}">
      <dgm:prSet/>
      <dgm:spPr/>
      <dgm:t>
        <a:bodyPr/>
        <a:lstStyle/>
        <a:p>
          <a:endParaRPr lang="en-GB"/>
        </a:p>
      </dgm:t>
    </dgm:pt>
    <dgm:pt modelId="{67E8C6D7-9BC1-412C-B1D1-99BA83DFC418}" type="sibTrans" cxnId="{B6BC6F16-22C1-4078-90BC-4554318123CF}">
      <dgm:prSet/>
      <dgm:spPr/>
      <dgm:t>
        <a:bodyPr/>
        <a:lstStyle/>
        <a:p>
          <a:endParaRPr lang="en-GB"/>
        </a:p>
      </dgm:t>
    </dgm:pt>
    <dgm:pt modelId="{C715F661-FE67-4BED-BEC5-BA79308C5382}">
      <dgm:prSet custT="1"/>
      <dgm:spPr/>
      <dgm:t>
        <a:bodyPr/>
        <a:lstStyle/>
        <a:p>
          <a:r>
            <a:rPr lang="en-GB" sz="1600" b="1" i="0" u="none"/>
            <a:t>And then choose 1 from the following</a:t>
          </a:r>
          <a:endParaRPr lang="en-GB" sz="1600"/>
        </a:p>
      </dgm:t>
    </dgm:pt>
    <dgm:pt modelId="{0D2338B5-ED7E-43AC-8FA4-039C8122A9AB}" type="parTrans" cxnId="{BB4F6F7D-A127-4AA7-9F7B-15FEFDB91E07}">
      <dgm:prSet/>
      <dgm:spPr/>
      <dgm:t>
        <a:bodyPr/>
        <a:lstStyle/>
        <a:p>
          <a:endParaRPr lang="en-GB"/>
        </a:p>
      </dgm:t>
    </dgm:pt>
    <dgm:pt modelId="{09DB08C0-DB2E-413B-AC6F-FF801845087C}" type="sibTrans" cxnId="{BB4F6F7D-A127-4AA7-9F7B-15FEFDB91E07}">
      <dgm:prSet/>
      <dgm:spPr/>
      <dgm:t>
        <a:bodyPr/>
        <a:lstStyle/>
        <a:p>
          <a:endParaRPr lang="en-GB"/>
        </a:p>
      </dgm:t>
    </dgm:pt>
    <dgm:pt modelId="{E250A8AD-07DB-42E0-BDF9-FD8056F6690C}">
      <dgm:prSet custT="1"/>
      <dgm:spPr/>
      <dgm:t>
        <a:bodyPr/>
        <a:lstStyle/>
        <a:p>
          <a:r>
            <a:rPr lang="en-GB" sz="1600" b="0" i="0" u="none"/>
            <a:t>Free unlimited Nitrox</a:t>
          </a:r>
          <a:endParaRPr lang="en-GB" sz="1600"/>
        </a:p>
      </dgm:t>
    </dgm:pt>
    <dgm:pt modelId="{C3318BFA-E669-4DDE-8A9E-539386ABA7FF}" type="parTrans" cxnId="{361E4A8B-910B-49A5-8BBE-152E2B97DC59}">
      <dgm:prSet/>
      <dgm:spPr/>
      <dgm:t>
        <a:bodyPr/>
        <a:lstStyle/>
        <a:p>
          <a:endParaRPr lang="en-GB"/>
        </a:p>
      </dgm:t>
    </dgm:pt>
    <dgm:pt modelId="{105CA3DF-2D55-41EC-B24A-CC9C7BE50C23}" type="sibTrans" cxnId="{361E4A8B-910B-49A5-8BBE-152E2B97DC59}">
      <dgm:prSet/>
      <dgm:spPr/>
      <dgm:t>
        <a:bodyPr/>
        <a:lstStyle/>
        <a:p>
          <a:endParaRPr lang="en-GB"/>
        </a:p>
      </dgm:t>
    </dgm:pt>
    <dgm:pt modelId="{0557CBC3-2C5F-4CE7-9C79-62E5B51D7A6E}">
      <dgm:prSet custT="1"/>
      <dgm:spPr/>
      <dgm:t>
        <a:bodyPr/>
        <a:lstStyle/>
        <a:p>
          <a:r>
            <a:rPr lang="en-GB" sz="1600" b="0" i="0" u="none"/>
            <a:t>Extra 2 tank morning boat trip</a:t>
          </a:r>
          <a:endParaRPr lang="en-GB" sz="1600"/>
        </a:p>
      </dgm:t>
    </dgm:pt>
    <dgm:pt modelId="{0BE722B4-13D3-4749-A594-6117CB97E0E6}" type="parTrans" cxnId="{4AFFD7FB-51FA-47FE-9BF4-55E68A73D49A}">
      <dgm:prSet/>
      <dgm:spPr/>
      <dgm:t>
        <a:bodyPr/>
        <a:lstStyle/>
        <a:p>
          <a:endParaRPr lang="en-GB"/>
        </a:p>
      </dgm:t>
    </dgm:pt>
    <dgm:pt modelId="{74CBBDBD-F226-47CE-8C45-502C417F461F}" type="sibTrans" cxnId="{4AFFD7FB-51FA-47FE-9BF4-55E68A73D49A}">
      <dgm:prSet/>
      <dgm:spPr/>
      <dgm:t>
        <a:bodyPr/>
        <a:lstStyle/>
        <a:p>
          <a:endParaRPr lang="en-GB"/>
        </a:p>
      </dgm:t>
    </dgm:pt>
    <dgm:pt modelId="{E8132E95-938B-4FB9-BF54-CD8D03111ECB}">
      <dgm:prSet custT="1"/>
      <dgm:spPr/>
      <dgm:t>
        <a:bodyPr/>
        <a:lstStyle/>
        <a:p>
          <a:r>
            <a:rPr lang="en-GB" sz="1600" b="0" i="0" u="none"/>
            <a:t>2 x afternoon 1 tank boat trips</a:t>
          </a:r>
          <a:endParaRPr lang="en-GB" sz="1600"/>
        </a:p>
      </dgm:t>
    </dgm:pt>
    <dgm:pt modelId="{ADBD2B9F-B868-464E-8AAC-AF2DD23091DD}" type="parTrans" cxnId="{8BBA9C03-27D8-4560-8BE5-DC78C0A766C2}">
      <dgm:prSet/>
      <dgm:spPr/>
      <dgm:t>
        <a:bodyPr/>
        <a:lstStyle/>
        <a:p>
          <a:endParaRPr lang="en-GB"/>
        </a:p>
      </dgm:t>
    </dgm:pt>
    <dgm:pt modelId="{98B0C118-9A54-4BB0-8A5E-B5AA241B9E26}" type="sibTrans" cxnId="{8BBA9C03-27D8-4560-8BE5-DC78C0A766C2}">
      <dgm:prSet/>
      <dgm:spPr/>
      <dgm:t>
        <a:bodyPr/>
        <a:lstStyle/>
        <a:p>
          <a:endParaRPr lang="en-GB"/>
        </a:p>
      </dgm:t>
    </dgm:pt>
    <dgm:pt modelId="{64E8B35E-A391-4B9E-B023-60800227C505}">
      <dgm:prSet custT="1"/>
      <dgm:spPr/>
      <dgm:t>
        <a:bodyPr/>
        <a:lstStyle/>
        <a:p>
          <a:r>
            <a:rPr lang="en-GB" sz="1600" b="1" i="0" u="none"/>
            <a:t>Only one group per week is eligible for the PRE-DEMA incentives</a:t>
          </a:r>
          <a:endParaRPr lang="en-GB" sz="1600"/>
        </a:p>
      </dgm:t>
    </dgm:pt>
    <dgm:pt modelId="{686A15F6-0479-4C90-A104-BB256BCD62E5}" type="parTrans" cxnId="{7756811E-6BEF-4403-A3A9-1D3F8D3104AA}">
      <dgm:prSet/>
      <dgm:spPr/>
      <dgm:t>
        <a:bodyPr/>
        <a:lstStyle/>
        <a:p>
          <a:endParaRPr lang="en-GB"/>
        </a:p>
      </dgm:t>
    </dgm:pt>
    <dgm:pt modelId="{F6563D02-B8B7-4956-A61C-6F4FDE7E7AED}" type="sibTrans" cxnId="{7756811E-6BEF-4403-A3A9-1D3F8D3104AA}">
      <dgm:prSet/>
      <dgm:spPr/>
      <dgm:t>
        <a:bodyPr/>
        <a:lstStyle/>
        <a:p>
          <a:endParaRPr lang="en-GB"/>
        </a:p>
      </dgm:t>
    </dgm:pt>
    <dgm:pt modelId="{9F2F8AD9-2B10-4B57-867D-9B1801EE5BCC}">
      <dgm:prSet custT="1"/>
      <dgm:spPr/>
      <dgm:t>
        <a:bodyPr/>
        <a:lstStyle/>
        <a:p>
          <a:endParaRPr lang="en-US" sz="2000" b="1"/>
        </a:p>
      </dgm:t>
    </dgm:pt>
    <dgm:pt modelId="{FFA2451E-89B9-44FF-B553-6BED8B817DD7}" type="parTrans" cxnId="{1CF378C9-CE20-413A-A8D8-B585BBBF6D64}">
      <dgm:prSet/>
      <dgm:spPr/>
      <dgm:t>
        <a:bodyPr/>
        <a:lstStyle/>
        <a:p>
          <a:endParaRPr lang="en-GB"/>
        </a:p>
      </dgm:t>
    </dgm:pt>
    <dgm:pt modelId="{83481D56-CF63-44BC-8258-64A37134FACD}" type="sibTrans" cxnId="{1CF378C9-CE20-413A-A8D8-B585BBBF6D64}">
      <dgm:prSet/>
      <dgm:spPr/>
      <dgm:t>
        <a:bodyPr/>
        <a:lstStyle/>
        <a:p>
          <a:endParaRPr lang="en-GB"/>
        </a:p>
      </dgm:t>
    </dgm:pt>
    <dgm:pt modelId="{B8B08CA3-4324-5A4E-BCFD-BF0D0749E53A}" type="pres">
      <dgm:prSet presAssocID="{C2F1D55A-00BB-BF49-8B2F-D9D4FF77B410}" presName="Name0" presStyleCnt="0">
        <dgm:presLayoutVars>
          <dgm:chMax val="7"/>
          <dgm:chPref val="7"/>
          <dgm:dir/>
          <dgm:animOne val="branch"/>
          <dgm:animLvl val="lvl"/>
        </dgm:presLayoutVars>
      </dgm:prSet>
      <dgm:spPr/>
    </dgm:pt>
    <dgm:pt modelId="{C087EEA8-4C4C-1843-972C-01AC3B857359}" type="pres">
      <dgm:prSet presAssocID="{B2C64979-F3E1-F04E-941A-F1946A6108BA}" presName="composite" presStyleCnt="0"/>
      <dgm:spPr/>
    </dgm:pt>
    <dgm:pt modelId="{5438F190-3B9F-724D-8C14-2F67C0F19C9A}" type="pres">
      <dgm:prSet presAssocID="{B2C64979-F3E1-F04E-941A-F1946A6108BA}" presName="BackAccent" presStyleLbl="bgShp" presStyleIdx="0" presStyleCnt="1"/>
      <dgm:spPr/>
    </dgm:pt>
    <dgm:pt modelId="{F2C9143E-2B83-2041-BA95-7B46801A87F6}" type="pres">
      <dgm:prSet presAssocID="{B2C64979-F3E1-F04E-941A-F1946A6108BA}" presName="Accent" presStyleLbl="alignNode1" presStyleIdx="0" presStyleCnt="1"/>
      <dgm:spPr>
        <a:solidFill>
          <a:srgbClr val="FFFF00"/>
        </a:solidFill>
      </dgm:spPr>
    </dgm:pt>
    <dgm:pt modelId="{CD402296-035F-434A-A9F1-CBA223EC9B9A}" type="pres">
      <dgm:prSet presAssocID="{B2C64979-F3E1-F04E-941A-F1946A6108BA}" presName="Child" presStyleLbl="revTx" presStyleIdx="0" presStyleCnt="2" custScaleX="174607" custScaleY="121404" custLinFactNeighborX="-3305" custLinFactNeighborY="13227">
        <dgm:presLayoutVars>
          <dgm:chMax val="0"/>
          <dgm:chPref val="0"/>
          <dgm:bulletEnabled val="1"/>
        </dgm:presLayoutVars>
      </dgm:prSet>
      <dgm:spPr/>
    </dgm:pt>
    <dgm:pt modelId="{7A083FDC-E9BB-6440-889D-3774DA820648}" type="pres">
      <dgm:prSet presAssocID="{B2C64979-F3E1-F04E-941A-F1946A6108BA}" presName="Parent" presStyleLbl="revTx" presStyleIdx="1" presStyleCnt="2" custScaleY="51180">
        <dgm:presLayoutVars>
          <dgm:chMax val="1"/>
          <dgm:chPref val="1"/>
          <dgm:bulletEnabled val="1"/>
        </dgm:presLayoutVars>
      </dgm:prSet>
      <dgm:spPr/>
    </dgm:pt>
  </dgm:ptLst>
  <dgm:cxnLst>
    <dgm:cxn modelId="{8BBA9C03-27D8-4560-8BE5-DC78C0A766C2}" srcId="{B2C64979-F3E1-F04E-941A-F1946A6108BA}" destId="{E8132E95-938B-4FB9-BF54-CD8D03111ECB}" srcOrd="13" destOrd="0" parTransId="{ADBD2B9F-B868-464E-8AAC-AF2DD23091DD}" sibTransId="{98B0C118-9A54-4BB0-8A5E-B5AA241B9E26}"/>
    <dgm:cxn modelId="{763AA705-BF36-4CCA-9FDC-94B0C1FC2E3C}" srcId="{B2C64979-F3E1-F04E-941A-F1946A6108BA}" destId="{7600EEED-B167-4E76-8CB6-6CAF642B83EF}" srcOrd="2" destOrd="0" parTransId="{F5846E68-53BF-492C-AF59-8239ABE5F3B6}" sibTransId="{56BDD546-F9AE-4B58-93B1-1EF55B5086F6}"/>
    <dgm:cxn modelId="{88EB3006-9393-1848-B72E-089EE74E4140}" srcId="{B2C64979-F3E1-F04E-941A-F1946A6108BA}" destId="{EB8A5A89-8231-4B43-8999-2086D0D6E231}" srcOrd="0" destOrd="0" parTransId="{BD43C7DB-388D-784F-8E15-34CEF6C9622F}" sibTransId="{2849273E-06D3-394C-BF44-5DCE7660D0DE}"/>
    <dgm:cxn modelId="{94F59115-BAB8-4A14-8990-221C8E79D82A}" type="presOf" srcId="{C715F661-FE67-4BED-BEC5-BA79308C5382}" destId="{CD402296-035F-434A-A9F1-CBA223EC9B9A}" srcOrd="0" destOrd="10" presId="urn:microsoft.com/office/officeart/2008/layout/IncreasingCircleProcess"/>
    <dgm:cxn modelId="{B6BC6F16-22C1-4078-90BC-4554318123CF}" srcId="{B2C64979-F3E1-F04E-941A-F1946A6108BA}" destId="{7A146A14-73BD-41E5-83B3-F628FC52A2EA}" srcOrd="9" destOrd="0" parTransId="{B82B6CC3-0EF5-4FAD-9958-5F5E9BE38E0C}" sibTransId="{67E8C6D7-9BC1-412C-B1D1-99BA83DFC418}"/>
    <dgm:cxn modelId="{B5390C17-0B8C-480A-ADF7-A101C7BF34EE}" type="presOf" srcId="{CE414FF3-0621-4F81-87B2-576A656E1BE5}" destId="{CD402296-035F-434A-A9F1-CBA223EC9B9A}" srcOrd="0" destOrd="5" presId="urn:microsoft.com/office/officeart/2008/layout/IncreasingCircleProcess"/>
    <dgm:cxn modelId="{0581C51C-A1D3-40A4-B8B9-FE82EA7FDCBF}" type="presOf" srcId="{8FFBF943-6715-4B36-AD5C-E5F2079D59BE}" destId="{CD402296-035F-434A-A9F1-CBA223EC9B9A}" srcOrd="0" destOrd="7" presId="urn:microsoft.com/office/officeart/2008/layout/IncreasingCircleProcess"/>
    <dgm:cxn modelId="{7756811E-6BEF-4403-A3A9-1D3F8D3104AA}" srcId="{B2C64979-F3E1-F04E-941A-F1946A6108BA}" destId="{64E8B35E-A391-4B9E-B023-60800227C505}" srcOrd="14" destOrd="0" parTransId="{686A15F6-0479-4C90-A104-BB256BCD62E5}" sibTransId="{F6563D02-B8B7-4956-A61C-6F4FDE7E7AED}"/>
    <dgm:cxn modelId="{47ED9226-8FC8-4852-AB2E-4978F166B886}" type="presOf" srcId="{7A146A14-73BD-41E5-83B3-F628FC52A2EA}" destId="{CD402296-035F-434A-A9F1-CBA223EC9B9A}" srcOrd="0" destOrd="9" presId="urn:microsoft.com/office/officeart/2008/layout/IncreasingCircleProcess"/>
    <dgm:cxn modelId="{D799F429-CE06-488F-8892-3CEED025A234}" type="presOf" srcId="{64E8B35E-A391-4B9E-B023-60800227C505}" destId="{CD402296-035F-434A-A9F1-CBA223EC9B9A}" srcOrd="0" destOrd="14" presId="urn:microsoft.com/office/officeart/2008/layout/IncreasingCircleProcess"/>
    <dgm:cxn modelId="{120C9E33-978F-4251-A838-7C51292A33D9}" srcId="{C1047BCD-BA58-4CBF-9946-FC8F23058F6E}" destId="{FE510236-C94E-4735-9839-3B6C01F2DF54}" srcOrd="0" destOrd="0" parTransId="{AC9F95EE-CE50-43AA-8E68-AB2B6A2FE100}" sibTransId="{E6B0407E-616A-4AC7-8A06-05B548630BB9}"/>
    <dgm:cxn modelId="{AAD3E035-C435-48CF-9626-A0BB3D099F8D}" type="presOf" srcId="{C1047BCD-BA58-4CBF-9946-FC8F23058F6E}" destId="{CD402296-035F-434A-A9F1-CBA223EC9B9A}" srcOrd="0" destOrd="15" presId="urn:microsoft.com/office/officeart/2008/layout/IncreasingCircleProcess"/>
    <dgm:cxn modelId="{3026FF39-A765-4C56-A936-5100AA92941E}" srcId="{B2C64979-F3E1-F04E-941A-F1946A6108BA}" destId="{43D7E713-3801-4160-B327-8ABE083C58AC}" srcOrd="1" destOrd="0" parTransId="{EF1692FA-3409-482A-BDD9-59C008BEDB24}" sibTransId="{38FF26EB-9755-4496-9D99-77D1481475A2}"/>
    <dgm:cxn modelId="{25348D3F-C99B-2B44-8E65-6C649DB8F47F}" srcId="{C2F1D55A-00BB-BF49-8B2F-D9D4FF77B410}" destId="{B2C64979-F3E1-F04E-941A-F1946A6108BA}" srcOrd="0" destOrd="0" parTransId="{8DFD79DE-113A-BF4B-B053-6352631A164A}" sibTransId="{EB430C93-659B-6C47-8D39-B74A2F593910}"/>
    <dgm:cxn modelId="{14F7515B-7736-4FA6-AA33-69D2C1B4D556}" type="presOf" srcId="{0557CBC3-2C5F-4CE7-9C79-62E5B51D7A6E}" destId="{CD402296-035F-434A-A9F1-CBA223EC9B9A}" srcOrd="0" destOrd="12" presId="urn:microsoft.com/office/officeart/2008/layout/IncreasingCircleProcess"/>
    <dgm:cxn modelId="{7227935D-F15F-4CC6-8B9A-C2A678528ACF}" srcId="{B2C64979-F3E1-F04E-941A-F1946A6108BA}" destId="{C1047BCD-BA58-4CBF-9946-FC8F23058F6E}" srcOrd="15" destOrd="0" parTransId="{588B5C83-AAA4-408F-8C95-B9F06179F6E1}" sibTransId="{A1F9928A-EED3-4AF1-830D-BEA3A5D04A79}"/>
    <dgm:cxn modelId="{3EB43F60-4FFC-4DED-8D9A-3150BB1164A5}" type="presOf" srcId="{14AF1A96-4E4E-4448-92E0-F72848F32828}" destId="{CD402296-035F-434A-A9F1-CBA223EC9B9A}" srcOrd="0" destOrd="4" presId="urn:microsoft.com/office/officeart/2008/layout/IncreasingCircleProcess"/>
    <dgm:cxn modelId="{B3B10169-3514-4B03-B921-40CCF4C9B173}" type="presOf" srcId="{9F2F8AD9-2B10-4B57-867D-9B1801EE5BCC}" destId="{CD402296-035F-434A-A9F1-CBA223EC9B9A}" srcOrd="0" destOrd="6" presId="urn:microsoft.com/office/officeart/2008/layout/IncreasingCircleProcess"/>
    <dgm:cxn modelId="{97EB566C-83CE-C545-8C35-6E74C677E4AE}" type="presOf" srcId="{C2F1D55A-00BB-BF49-8B2F-D9D4FF77B410}" destId="{B8B08CA3-4324-5A4E-BCFD-BF0D0749E53A}" srcOrd="0" destOrd="0" presId="urn:microsoft.com/office/officeart/2008/layout/IncreasingCircleProcess"/>
    <dgm:cxn modelId="{35F11571-166E-3745-B901-F22F56CA2B66}" type="presOf" srcId="{EB8A5A89-8231-4B43-8999-2086D0D6E231}" destId="{CD402296-035F-434A-A9F1-CBA223EC9B9A}" srcOrd="0" destOrd="0" presId="urn:microsoft.com/office/officeart/2008/layout/IncreasingCircleProcess"/>
    <dgm:cxn modelId="{F19D8B52-DADB-47CF-8648-4B01C77B3EDA}" srcId="{B2C64979-F3E1-F04E-941A-F1946A6108BA}" destId="{E848CE54-CA21-425F-9C68-A4F68298FD31}" srcOrd="3" destOrd="0" parTransId="{1E08D4C8-C29C-448B-9A94-5FF1E5052D68}" sibTransId="{E2098377-0815-4F68-87E6-D83656E74438}"/>
    <dgm:cxn modelId="{BB4F6F7D-A127-4AA7-9F7B-15FEFDB91E07}" srcId="{B2C64979-F3E1-F04E-941A-F1946A6108BA}" destId="{C715F661-FE67-4BED-BEC5-BA79308C5382}" srcOrd="10" destOrd="0" parTransId="{0D2338B5-ED7E-43AC-8FA4-039C8122A9AB}" sibTransId="{09DB08C0-DB2E-413B-AC6F-FF801845087C}"/>
    <dgm:cxn modelId="{6210F982-714F-4006-B406-D168781E2192}" type="presOf" srcId="{43D7E713-3801-4160-B327-8ABE083C58AC}" destId="{CD402296-035F-434A-A9F1-CBA223EC9B9A}" srcOrd="0" destOrd="1" presId="urn:microsoft.com/office/officeart/2008/layout/IncreasingCircleProcess"/>
    <dgm:cxn modelId="{361E4A8B-910B-49A5-8BBE-152E2B97DC59}" srcId="{B2C64979-F3E1-F04E-941A-F1946A6108BA}" destId="{E250A8AD-07DB-42E0-BDF9-FD8056F6690C}" srcOrd="11" destOrd="0" parTransId="{C3318BFA-E669-4DDE-8A9E-539386ABA7FF}" sibTransId="{105CA3DF-2D55-41EC-B24A-CC9C7BE50C23}"/>
    <dgm:cxn modelId="{65DEB890-CDAB-4241-A685-8A50A19898E1}" srcId="{B2C64979-F3E1-F04E-941A-F1946A6108BA}" destId="{14AF1A96-4E4E-4448-92E0-F72848F32828}" srcOrd="4" destOrd="0" parTransId="{EE637A70-7488-473D-B99B-803E387317A2}" sibTransId="{87A2F1EE-35AF-409A-9051-80CB1C4AF0DD}"/>
    <dgm:cxn modelId="{20FE8F94-0545-4CAC-A5CE-FDDEA174B9EA}" type="presOf" srcId="{E250A8AD-07DB-42E0-BDF9-FD8056F6690C}" destId="{CD402296-035F-434A-A9F1-CBA223EC9B9A}" srcOrd="0" destOrd="11" presId="urn:microsoft.com/office/officeart/2008/layout/IncreasingCircleProcess"/>
    <dgm:cxn modelId="{F9BB6496-DB00-4366-A834-AFCFA174E56D}" srcId="{B2C64979-F3E1-F04E-941A-F1946A6108BA}" destId="{788E9595-DCCF-434E-BD36-90E356B96523}" srcOrd="8" destOrd="0" parTransId="{9560D54B-4349-430C-9B80-9118D9F10D5D}" sibTransId="{0564CCA8-4D69-4AE0-9DF2-8E23512E52A0}"/>
    <dgm:cxn modelId="{89CFB596-8066-4B52-A7C6-80836014AACD}" type="presOf" srcId="{E8132E95-938B-4FB9-BF54-CD8D03111ECB}" destId="{CD402296-035F-434A-A9F1-CBA223EC9B9A}" srcOrd="0" destOrd="13" presId="urn:microsoft.com/office/officeart/2008/layout/IncreasingCircleProcess"/>
    <dgm:cxn modelId="{4244259B-95D9-402F-8A2A-A9B839C124F5}" srcId="{B2C64979-F3E1-F04E-941A-F1946A6108BA}" destId="{CE414FF3-0621-4F81-87B2-576A656E1BE5}" srcOrd="5" destOrd="0" parTransId="{F2A87388-4A5A-4059-AF40-E7C1DFA495B3}" sibTransId="{AA2F593B-8607-47BC-BA20-C1AA3989DB78}"/>
    <dgm:cxn modelId="{1132C5BB-9AEB-4FE3-AEF2-5ACB6FFC3F07}" type="presOf" srcId="{788E9595-DCCF-434E-BD36-90E356B96523}" destId="{CD402296-035F-434A-A9F1-CBA223EC9B9A}" srcOrd="0" destOrd="8" presId="urn:microsoft.com/office/officeart/2008/layout/IncreasingCircleProcess"/>
    <dgm:cxn modelId="{1CF378C9-CE20-413A-A8D8-B585BBBF6D64}" srcId="{B2C64979-F3E1-F04E-941A-F1946A6108BA}" destId="{9F2F8AD9-2B10-4B57-867D-9B1801EE5BCC}" srcOrd="6" destOrd="0" parTransId="{FFA2451E-89B9-44FF-B553-6BED8B817DD7}" sibTransId="{83481D56-CF63-44BC-8258-64A37134FACD}"/>
    <dgm:cxn modelId="{FBC09DC9-9692-45F7-97BE-627860683AB4}" srcId="{B2C64979-F3E1-F04E-941A-F1946A6108BA}" destId="{8FFBF943-6715-4B36-AD5C-E5F2079D59BE}" srcOrd="7" destOrd="0" parTransId="{7F907D34-1BE2-4C45-9EEE-165155368E22}" sibTransId="{B72ECF87-A47B-48DC-8770-C03A577AC094}"/>
    <dgm:cxn modelId="{AC08CCE1-4FC6-403A-A792-8828DA51253B}" type="presOf" srcId="{E848CE54-CA21-425F-9C68-A4F68298FD31}" destId="{CD402296-035F-434A-A9F1-CBA223EC9B9A}" srcOrd="0" destOrd="3" presId="urn:microsoft.com/office/officeart/2008/layout/IncreasingCircleProcess"/>
    <dgm:cxn modelId="{F965F2E6-F4E4-43E4-BCFE-8C9849FBF69A}" type="presOf" srcId="{7600EEED-B167-4E76-8CB6-6CAF642B83EF}" destId="{CD402296-035F-434A-A9F1-CBA223EC9B9A}" srcOrd="0" destOrd="2" presId="urn:microsoft.com/office/officeart/2008/layout/IncreasingCircleProcess"/>
    <dgm:cxn modelId="{D6F4DDEE-A216-8342-B566-7746776919A5}" type="presOf" srcId="{B2C64979-F3E1-F04E-941A-F1946A6108BA}" destId="{7A083FDC-E9BB-6440-889D-3774DA820648}" srcOrd="0" destOrd="0" presId="urn:microsoft.com/office/officeart/2008/layout/IncreasingCircleProcess"/>
    <dgm:cxn modelId="{4AFFD7FB-51FA-47FE-9BF4-55E68A73D49A}" srcId="{B2C64979-F3E1-F04E-941A-F1946A6108BA}" destId="{0557CBC3-2C5F-4CE7-9C79-62E5B51D7A6E}" srcOrd="12" destOrd="0" parTransId="{0BE722B4-13D3-4749-A594-6117CB97E0E6}" sibTransId="{74CBBDBD-F226-47CE-8C45-502C417F461F}"/>
    <dgm:cxn modelId="{480559FF-02A5-4209-9A27-145F33150985}" type="presOf" srcId="{FE510236-C94E-4735-9839-3B6C01F2DF54}" destId="{CD402296-035F-434A-A9F1-CBA223EC9B9A}" srcOrd="0" destOrd="16" presId="urn:microsoft.com/office/officeart/2008/layout/IncreasingCircleProcess"/>
    <dgm:cxn modelId="{9AC49B7F-0AFA-BD4F-9109-6B46457008F4}" type="presParOf" srcId="{B8B08CA3-4324-5A4E-BCFD-BF0D0749E53A}" destId="{C087EEA8-4C4C-1843-972C-01AC3B857359}" srcOrd="0" destOrd="0" presId="urn:microsoft.com/office/officeart/2008/layout/IncreasingCircleProcess"/>
    <dgm:cxn modelId="{47039B17-7850-4F40-A987-C833F5B87445}" type="presParOf" srcId="{C087EEA8-4C4C-1843-972C-01AC3B857359}" destId="{5438F190-3B9F-724D-8C14-2F67C0F19C9A}" srcOrd="0" destOrd="0" presId="urn:microsoft.com/office/officeart/2008/layout/IncreasingCircleProcess"/>
    <dgm:cxn modelId="{560F4268-A496-3840-971C-F375183C9A05}" type="presParOf" srcId="{C087EEA8-4C4C-1843-972C-01AC3B857359}" destId="{F2C9143E-2B83-2041-BA95-7B46801A87F6}" srcOrd="1" destOrd="0" presId="urn:microsoft.com/office/officeart/2008/layout/IncreasingCircleProcess"/>
    <dgm:cxn modelId="{C52BAFB4-A9A5-C84D-908E-E3F268744FBB}" type="presParOf" srcId="{C087EEA8-4C4C-1843-972C-01AC3B857359}" destId="{CD402296-035F-434A-A9F1-CBA223EC9B9A}" srcOrd="2" destOrd="0" presId="urn:microsoft.com/office/officeart/2008/layout/IncreasingCircleProcess"/>
    <dgm:cxn modelId="{2FEA8168-4A16-4541-B4BC-001414A3D57D}" type="presParOf" srcId="{C087EEA8-4C4C-1843-972C-01AC3B857359}" destId="{7A083FDC-E9BB-6440-889D-3774DA820648}" srcOrd="3" destOrd="0" presId="urn:microsoft.com/office/officeart/2008/layout/IncreasingCircleProcess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5.xml><?xml version="1.0" encoding="utf-8"?>
<dgm:dataModel xmlns:dgm="http://schemas.openxmlformats.org/drawingml/2006/diagram" xmlns:a="http://schemas.openxmlformats.org/drawingml/2006/main">
  <dgm:ptLst>
    <dgm:pt modelId="{C2F1D55A-00BB-BF49-8B2F-D9D4FF77B410}" type="doc">
      <dgm:prSet loTypeId="urn:microsoft.com/office/officeart/2008/layout/IncreasingCircleProcess" loCatId="" qsTypeId="urn:microsoft.com/office/officeart/2005/8/quickstyle/simple4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B2C64979-F3E1-F04E-941A-F1946A6108BA}">
      <dgm:prSet phldrT="[Text]" custT="1"/>
      <dgm:spPr/>
      <dgm:t>
        <a:bodyPr/>
        <a:lstStyle/>
        <a:p>
          <a:r>
            <a:rPr lang="en-US" sz="4000"/>
            <a:t>LEVEL 2</a:t>
          </a:r>
        </a:p>
      </dgm:t>
    </dgm:pt>
    <dgm:pt modelId="{8DFD79DE-113A-BF4B-B053-6352631A164A}" type="parTrans" cxnId="{25348D3F-C99B-2B44-8E65-6C649DB8F47F}">
      <dgm:prSet/>
      <dgm:spPr/>
      <dgm:t>
        <a:bodyPr/>
        <a:lstStyle/>
        <a:p>
          <a:endParaRPr lang="en-US"/>
        </a:p>
      </dgm:t>
    </dgm:pt>
    <dgm:pt modelId="{EB430C93-659B-6C47-8D39-B74A2F593910}" type="sibTrans" cxnId="{25348D3F-C99B-2B44-8E65-6C649DB8F47F}">
      <dgm:prSet/>
      <dgm:spPr/>
      <dgm:t>
        <a:bodyPr/>
        <a:lstStyle/>
        <a:p>
          <a:endParaRPr lang="en-US"/>
        </a:p>
      </dgm:t>
    </dgm:pt>
    <dgm:pt modelId="{A498110A-AFA1-1B49-B034-A931549D97B2}">
      <dgm:prSet phldrT="[Text]" custT="1"/>
      <dgm:spPr/>
      <dgm:t>
        <a:bodyPr/>
        <a:lstStyle/>
        <a:p>
          <a:endParaRPr lang="en-US" sz="2000" b="1"/>
        </a:p>
        <a:p>
          <a:endParaRPr lang="en-US" sz="2000" b="1"/>
        </a:p>
        <a:p>
          <a:endParaRPr lang="en-US" sz="2000" b="1"/>
        </a:p>
        <a:p>
          <a:endParaRPr lang="en-US" sz="2000" b="1"/>
        </a:p>
        <a:p>
          <a:r>
            <a:rPr lang="en-US" sz="2000" b="1"/>
            <a:t>Seven Night Minimum</a:t>
          </a:r>
          <a:endParaRPr lang="en-US" sz="2000"/>
        </a:p>
      </dgm:t>
    </dgm:pt>
    <dgm:pt modelId="{56B62260-9917-AD4E-82D8-C52A200DDAF3}" type="sibTrans" cxnId="{DEBBA023-45A7-7A48-82D7-9704CD292F7B}">
      <dgm:prSet/>
      <dgm:spPr/>
      <dgm:t>
        <a:bodyPr/>
        <a:lstStyle/>
        <a:p>
          <a:endParaRPr lang="en-US"/>
        </a:p>
      </dgm:t>
    </dgm:pt>
    <dgm:pt modelId="{F0AC7536-883B-2F42-98EE-8D01B1BF92B7}" type="parTrans" cxnId="{DEBBA023-45A7-7A48-82D7-9704CD292F7B}">
      <dgm:prSet/>
      <dgm:spPr/>
      <dgm:t>
        <a:bodyPr/>
        <a:lstStyle/>
        <a:p>
          <a:endParaRPr lang="en-US"/>
        </a:p>
      </dgm:t>
    </dgm:pt>
    <dgm:pt modelId="{AB210DFD-9FFD-7E49-B80A-A22B07278FAE}">
      <dgm:prSet/>
      <dgm:spPr/>
      <dgm:t>
        <a:bodyPr/>
        <a:lstStyle/>
        <a:p>
          <a:endParaRPr lang="en-US" sz="1500" i="1"/>
        </a:p>
      </dgm:t>
    </dgm:pt>
    <dgm:pt modelId="{CC2D1CBB-9F6F-EF4D-968E-5B591788679F}" type="parTrans" cxnId="{91BFF50A-2C98-384E-8A95-E3B4C828C17A}">
      <dgm:prSet/>
      <dgm:spPr/>
      <dgm:t>
        <a:bodyPr/>
        <a:lstStyle/>
        <a:p>
          <a:endParaRPr lang="en-US"/>
        </a:p>
      </dgm:t>
    </dgm:pt>
    <dgm:pt modelId="{6554F2C3-98BA-4F46-83F2-ED83D72310F4}" type="sibTrans" cxnId="{91BFF50A-2C98-384E-8A95-E3B4C828C17A}">
      <dgm:prSet/>
      <dgm:spPr/>
      <dgm:t>
        <a:bodyPr/>
        <a:lstStyle/>
        <a:p>
          <a:endParaRPr lang="en-US"/>
        </a:p>
      </dgm:t>
    </dgm:pt>
    <dgm:pt modelId="{0F6FC41F-0769-4BA7-B78E-91D295FE4AD2}">
      <dgm:prSet phldrT="[Text]" custT="1"/>
      <dgm:spPr/>
      <dgm:t>
        <a:bodyPr/>
        <a:lstStyle/>
        <a:p>
          <a:r>
            <a:rPr lang="en-US" sz="2000" b="1"/>
            <a:t>Five Days Morning Two Tank Boat Dive</a:t>
          </a:r>
        </a:p>
      </dgm:t>
    </dgm:pt>
    <dgm:pt modelId="{869CAD3F-5C46-497D-BC73-F7CBE0BA678A}" type="sibTrans" cxnId="{B2780B0F-0423-4AF7-ADAB-0A94A332E22D}">
      <dgm:prSet/>
      <dgm:spPr/>
      <dgm:t>
        <a:bodyPr/>
        <a:lstStyle/>
        <a:p>
          <a:endParaRPr lang="en-US"/>
        </a:p>
      </dgm:t>
    </dgm:pt>
    <dgm:pt modelId="{F06E0232-3AE2-4E5E-AD37-3649A530EF4C}" type="parTrans" cxnId="{B2780B0F-0423-4AF7-ADAB-0A94A332E22D}">
      <dgm:prSet/>
      <dgm:spPr/>
      <dgm:t>
        <a:bodyPr/>
        <a:lstStyle/>
        <a:p>
          <a:endParaRPr lang="en-US"/>
        </a:p>
      </dgm:t>
    </dgm:pt>
    <dgm:pt modelId="{76DC5291-BC9D-4996-AA62-B0AB07911034}">
      <dgm:prSet custT="1"/>
      <dgm:spPr/>
      <dgm:t>
        <a:bodyPr/>
        <a:lstStyle/>
        <a:p>
          <a:r>
            <a:rPr lang="en-US" sz="2000" b="1"/>
            <a:t>Reflects a 20% discount off Room and Dive</a:t>
          </a:r>
        </a:p>
        <a:p>
          <a:r>
            <a:rPr lang="en-US" sz="2000" b="1"/>
            <a:t>9:1  - 14:2 Comp Spot</a:t>
          </a:r>
        </a:p>
      </dgm:t>
    </dgm:pt>
    <dgm:pt modelId="{92C9D0B2-FB2E-4BB2-9B3C-64B57187D0B7}" type="sibTrans" cxnId="{E5669AD0-6AEC-40B0-ADF4-EF535E823DA4}">
      <dgm:prSet/>
      <dgm:spPr/>
      <dgm:t>
        <a:bodyPr/>
        <a:lstStyle/>
        <a:p>
          <a:endParaRPr lang="en-US"/>
        </a:p>
      </dgm:t>
    </dgm:pt>
    <dgm:pt modelId="{A5AAE691-CE64-4B94-B6DA-3475241DE07E}" type="parTrans" cxnId="{E5669AD0-6AEC-40B0-ADF4-EF535E823DA4}">
      <dgm:prSet/>
      <dgm:spPr/>
      <dgm:t>
        <a:bodyPr/>
        <a:lstStyle/>
        <a:p>
          <a:endParaRPr lang="en-US"/>
        </a:p>
      </dgm:t>
    </dgm:pt>
    <dgm:pt modelId="{31929348-1D96-448C-8AFD-3A8047BB849E}">
      <dgm:prSet custT="1"/>
      <dgm:spPr/>
      <dgm:t>
        <a:bodyPr/>
        <a:lstStyle/>
        <a:p>
          <a:r>
            <a:rPr lang="en-US" sz="2000" b="1"/>
            <a:t>Transfers</a:t>
          </a:r>
        </a:p>
      </dgm:t>
    </dgm:pt>
    <dgm:pt modelId="{CD096C52-F342-432D-B402-6D190768D65C}" type="sibTrans" cxnId="{A673D3D5-BC15-456D-86FF-01AF8F3E2F04}">
      <dgm:prSet/>
      <dgm:spPr/>
      <dgm:t>
        <a:bodyPr/>
        <a:lstStyle/>
        <a:p>
          <a:endParaRPr lang="en-US"/>
        </a:p>
      </dgm:t>
    </dgm:pt>
    <dgm:pt modelId="{E90F998B-35FF-4E59-9383-F6C10300F70D}" type="parTrans" cxnId="{A673D3D5-BC15-456D-86FF-01AF8F3E2F04}">
      <dgm:prSet/>
      <dgm:spPr/>
      <dgm:t>
        <a:bodyPr/>
        <a:lstStyle/>
        <a:p>
          <a:endParaRPr lang="en-US"/>
        </a:p>
      </dgm:t>
    </dgm:pt>
    <dgm:pt modelId="{1F6CBE83-AFD6-4F70-993F-255540CB58F7}">
      <dgm:prSet custT="1"/>
      <dgm:spPr/>
      <dgm:t>
        <a:bodyPr/>
        <a:lstStyle/>
        <a:p>
          <a:r>
            <a:rPr lang="en-US" sz="2000" b="1"/>
            <a:t>Tax and Service</a:t>
          </a:r>
        </a:p>
      </dgm:t>
    </dgm:pt>
    <dgm:pt modelId="{F8D6502D-7A3B-4B01-AF15-14D827F27D0E}" type="sibTrans" cxnId="{DA798712-A754-459F-ACF6-50D66F349F36}">
      <dgm:prSet/>
      <dgm:spPr/>
      <dgm:t>
        <a:bodyPr/>
        <a:lstStyle/>
        <a:p>
          <a:endParaRPr lang="en-US"/>
        </a:p>
      </dgm:t>
    </dgm:pt>
    <dgm:pt modelId="{3E55DEF2-4A0F-4A77-9D40-EAE6DB06691A}" type="parTrans" cxnId="{DA798712-A754-459F-ACF6-50D66F349F36}">
      <dgm:prSet/>
      <dgm:spPr/>
      <dgm:t>
        <a:bodyPr/>
        <a:lstStyle/>
        <a:p>
          <a:endParaRPr lang="en-US"/>
        </a:p>
      </dgm:t>
    </dgm:pt>
    <dgm:pt modelId="{124373B7-B64B-40AD-9F79-33177AFEE5B8}">
      <dgm:prSet custT="1"/>
      <dgm:spPr/>
      <dgm:t>
        <a:bodyPr/>
        <a:lstStyle/>
        <a:p>
          <a:endParaRPr lang="en-US" sz="2000" b="1"/>
        </a:p>
      </dgm:t>
    </dgm:pt>
    <dgm:pt modelId="{5C5CD92F-1A8C-4167-A09E-BB625EEE412C}" type="sibTrans" cxnId="{BF9B1FB6-29B3-4979-84FA-13FBAFE96E6D}">
      <dgm:prSet/>
      <dgm:spPr/>
      <dgm:t>
        <a:bodyPr/>
        <a:lstStyle/>
        <a:p>
          <a:endParaRPr lang="en-GB"/>
        </a:p>
      </dgm:t>
    </dgm:pt>
    <dgm:pt modelId="{441FCCC9-C6DB-4869-80F4-F67A83FCAB56}" type="parTrans" cxnId="{BF9B1FB6-29B3-4979-84FA-13FBAFE96E6D}">
      <dgm:prSet/>
      <dgm:spPr/>
      <dgm:t>
        <a:bodyPr/>
        <a:lstStyle/>
        <a:p>
          <a:endParaRPr lang="en-GB"/>
        </a:p>
      </dgm:t>
    </dgm:pt>
    <dgm:pt modelId="{F5EAE97E-C045-4136-A6F2-B1C819097514}">
      <dgm:prSet custT="1"/>
      <dgm:spPr/>
      <dgm:t>
        <a:bodyPr/>
        <a:lstStyle/>
        <a:p>
          <a:r>
            <a:rPr lang="en-GB" sz="1600" b="1" i="0" u="none">
              <a:latin typeface="+mn-lt"/>
            </a:rPr>
            <a:t>PRE-DEMA</a:t>
          </a:r>
          <a:endParaRPr lang="en-US" sz="1600" b="1">
            <a:latin typeface="+mn-lt"/>
          </a:endParaRPr>
        </a:p>
      </dgm:t>
    </dgm:pt>
    <dgm:pt modelId="{8CFAE92A-38CE-4E45-9F8E-7295A2FBFFA3}" type="sibTrans" cxnId="{98F3AC4E-9C25-4DA5-A111-DF6BB3239BCB}">
      <dgm:prSet/>
      <dgm:spPr/>
      <dgm:t>
        <a:bodyPr/>
        <a:lstStyle/>
        <a:p>
          <a:endParaRPr lang="en-US"/>
        </a:p>
      </dgm:t>
    </dgm:pt>
    <dgm:pt modelId="{FADE8C5F-A675-4181-B369-3C2911FF0CEE}" type="parTrans" cxnId="{98F3AC4E-9C25-4DA5-A111-DF6BB3239BCB}">
      <dgm:prSet/>
      <dgm:spPr/>
      <dgm:t>
        <a:bodyPr/>
        <a:lstStyle/>
        <a:p>
          <a:endParaRPr lang="en-US"/>
        </a:p>
      </dgm:t>
    </dgm:pt>
    <dgm:pt modelId="{44DC19C3-8E57-429E-BA91-DABC4A621CB2}">
      <dgm:prSet custT="1"/>
      <dgm:spPr/>
      <dgm:t>
        <a:bodyPr/>
        <a:lstStyle/>
        <a:p>
          <a:r>
            <a:rPr lang="en-GB" sz="1600" b="1" i="0" u="none">
              <a:latin typeface="+mn-lt"/>
            </a:rPr>
            <a:t>Book before DEMA 2020 New Orleans Show</a:t>
          </a:r>
          <a:endParaRPr lang="en-US" sz="1600" b="1">
            <a:latin typeface="+mn-lt"/>
          </a:endParaRPr>
        </a:p>
      </dgm:t>
    </dgm:pt>
    <dgm:pt modelId="{E8B62353-E82A-4319-88F2-F1D022E888EB}" type="sibTrans" cxnId="{64231926-91F6-48C2-BC02-5305239FCC8B}">
      <dgm:prSet/>
      <dgm:spPr/>
      <dgm:t>
        <a:bodyPr/>
        <a:lstStyle/>
        <a:p>
          <a:endParaRPr lang="en-GB"/>
        </a:p>
      </dgm:t>
    </dgm:pt>
    <dgm:pt modelId="{AEC7526A-61FE-4E2F-804C-E2F677170071}" type="parTrans" cxnId="{64231926-91F6-48C2-BC02-5305239FCC8B}">
      <dgm:prSet/>
      <dgm:spPr/>
      <dgm:t>
        <a:bodyPr/>
        <a:lstStyle/>
        <a:p>
          <a:endParaRPr lang="en-GB"/>
        </a:p>
      </dgm:t>
    </dgm:pt>
    <dgm:pt modelId="{81B9B232-81C0-43A4-9FD6-0ECD6AB34B94}">
      <dgm:prSet custT="1"/>
      <dgm:spPr/>
      <dgm:t>
        <a:bodyPr/>
        <a:lstStyle/>
        <a:p>
          <a:r>
            <a:rPr lang="en-GB" sz="1600" b="1" i="0" u="none">
              <a:latin typeface="+mn-lt"/>
            </a:rPr>
            <a:t>Incentives all groups</a:t>
          </a:r>
          <a:endParaRPr lang="en-GB" sz="1600">
            <a:latin typeface="+mn-lt"/>
          </a:endParaRPr>
        </a:p>
      </dgm:t>
    </dgm:pt>
    <dgm:pt modelId="{93A7A0B0-22AE-422B-8B13-C42150E16D6B}" type="sibTrans" cxnId="{F4F95F0C-4F97-4DAC-B380-DA6ECE2D8E41}">
      <dgm:prSet/>
      <dgm:spPr/>
      <dgm:t>
        <a:bodyPr/>
        <a:lstStyle/>
        <a:p>
          <a:endParaRPr lang="en-GB"/>
        </a:p>
      </dgm:t>
    </dgm:pt>
    <dgm:pt modelId="{0E2B6AB8-FBA6-4FBC-BD88-189CE37FCA3C}" type="parTrans" cxnId="{F4F95F0C-4F97-4DAC-B380-DA6ECE2D8E41}">
      <dgm:prSet/>
      <dgm:spPr/>
      <dgm:t>
        <a:bodyPr/>
        <a:lstStyle/>
        <a:p>
          <a:endParaRPr lang="en-GB"/>
        </a:p>
      </dgm:t>
    </dgm:pt>
    <dgm:pt modelId="{428FCA6F-36C0-44F8-AA49-9CBB52068571}">
      <dgm:prSet custT="1"/>
      <dgm:spPr/>
      <dgm:t>
        <a:bodyPr/>
        <a:lstStyle/>
        <a:p>
          <a:r>
            <a:rPr lang="en-GB" sz="1600" b="0" i="0" u="none">
              <a:latin typeface="+mn-lt"/>
            </a:rPr>
            <a:t>FREE KW &amp; SRC as a 2nd dive with 16+ divers</a:t>
          </a:r>
          <a:endParaRPr lang="en-GB" sz="1600">
            <a:latin typeface="+mn-lt"/>
          </a:endParaRPr>
        </a:p>
      </dgm:t>
    </dgm:pt>
    <dgm:pt modelId="{14936839-5963-4F6A-B055-1BB6DE5AD1FC}" type="sibTrans" cxnId="{74555509-E371-4771-A8BF-8B8C4A5A8D6B}">
      <dgm:prSet/>
      <dgm:spPr/>
      <dgm:t>
        <a:bodyPr/>
        <a:lstStyle/>
        <a:p>
          <a:endParaRPr lang="en-GB"/>
        </a:p>
      </dgm:t>
    </dgm:pt>
    <dgm:pt modelId="{82DA4A54-8E0A-4F7D-9E6D-99265BFBBB6E}" type="parTrans" cxnId="{74555509-E371-4771-A8BF-8B8C4A5A8D6B}">
      <dgm:prSet/>
      <dgm:spPr/>
      <dgm:t>
        <a:bodyPr/>
        <a:lstStyle/>
        <a:p>
          <a:endParaRPr lang="en-GB"/>
        </a:p>
      </dgm:t>
    </dgm:pt>
    <dgm:pt modelId="{A215A116-0D26-4AD8-AF51-2D788961324A}">
      <dgm:prSet custT="1"/>
      <dgm:spPr/>
      <dgm:t>
        <a:bodyPr/>
        <a:lstStyle/>
        <a:p>
          <a:r>
            <a:rPr lang="en-GB" sz="1600" b="1" i="0" u="none">
              <a:latin typeface="+mn-lt"/>
            </a:rPr>
            <a:t>And then choose 1 from the following</a:t>
          </a:r>
          <a:endParaRPr lang="en-GB" sz="1600">
            <a:latin typeface="+mn-lt"/>
          </a:endParaRPr>
        </a:p>
      </dgm:t>
    </dgm:pt>
    <dgm:pt modelId="{FB9934F9-4FC6-4A8C-8F51-4B8D865E2F29}" type="sibTrans" cxnId="{749592AD-91E1-4B46-B0E3-FF7ED5D983D4}">
      <dgm:prSet/>
      <dgm:spPr/>
      <dgm:t>
        <a:bodyPr/>
        <a:lstStyle/>
        <a:p>
          <a:endParaRPr lang="en-GB"/>
        </a:p>
      </dgm:t>
    </dgm:pt>
    <dgm:pt modelId="{3E1383AC-47FC-430C-8D72-8F62A561FA26}" type="parTrans" cxnId="{749592AD-91E1-4B46-B0E3-FF7ED5D983D4}">
      <dgm:prSet/>
      <dgm:spPr/>
      <dgm:t>
        <a:bodyPr/>
        <a:lstStyle/>
        <a:p>
          <a:endParaRPr lang="en-GB"/>
        </a:p>
      </dgm:t>
    </dgm:pt>
    <dgm:pt modelId="{963F93B5-14AA-423C-8E07-4B7F5E66917A}">
      <dgm:prSet custT="1"/>
      <dgm:spPr/>
      <dgm:t>
        <a:bodyPr/>
        <a:lstStyle/>
        <a:p>
          <a:r>
            <a:rPr lang="en-GB" sz="1600" b="0" i="0" u="none">
              <a:latin typeface="+mn-lt"/>
            </a:rPr>
            <a:t>Free unlimited Nitrox</a:t>
          </a:r>
          <a:endParaRPr lang="en-GB" sz="1600">
            <a:latin typeface="+mn-lt"/>
          </a:endParaRPr>
        </a:p>
      </dgm:t>
    </dgm:pt>
    <dgm:pt modelId="{4C47C8FA-81C9-4AF4-BC40-8752A376FB07}" type="sibTrans" cxnId="{BC2588D2-E1AB-4E3A-8CB9-0D813B46E60E}">
      <dgm:prSet/>
      <dgm:spPr/>
      <dgm:t>
        <a:bodyPr/>
        <a:lstStyle/>
        <a:p>
          <a:endParaRPr lang="en-GB"/>
        </a:p>
      </dgm:t>
    </dgm:pt>
    <dgm:pt modelId="{9B413B86-F223-4AC8-938F-248C71336EED}" type="parTrans" cxnId="{BC2588D2-E1AB-4E3A-8CB9-0D813B46E60E}">
      <dgm:prSet/>
      <dgm:spPr/>
      <dgm:t>
        <a:bodyPr/>
        <a:lstStyle/>
        <a:p>
          <a:endParaRPr lang="en-GB"/>
        </a:p>
      </dgm:t>
    </dgm:pt>
    <dgm:pt modelId="{A3F8043A-D3A2-4223-A923-345A184302DB}">
      <dgm:prSet custT="1"/>
      <dgm:spPr/>
      <dgm:t>
        <a:bodyPr/>
        <a:lstStyle/>
        <a:p>
          <a:r>
            <a:rPr lang="en-GB" sz="1600" b="0" i="0" u="none">
              <a:latin typeface="+mn-lt"/>
            </a:rPr>
            <a:t>Extra 2 tank morning boat trip</a:t>
          </a:r>
          <a:endParaRPr lang="en-GB" sz="1600">
            <a:latin typeface="+mn-lt"/>
          </a:endParaRPr>
        </a:p>
      </dgm:t>
    </dgm:pt>
    <dgm:pt modelId="{15251C30-9129-44BC-837D-7443CB0EA7D6}" type="sibTrans" cxnId="{BBBC7F83-693E-4E7A-A49A-3D6C53BB135B}">
      <dgm:prSet/>
      <dgm:spPr/>
      <dgm:t>
        <a:bodyPr/>
        <a:lstStyle/>
        <a:p>
          <a:endParaRPr lang="en-GB"/>
        </a:p>
      </dgm:t>
    </dgm:pt>
    <dgm:pt modelId="{0387E49B-B665-407E-A246-DE9533D3EC50}" type="parTrans" cxnId="{BBBC7F83-693E-4E7A-A49A-3D6C53BB135B}">
      <dgm:prSet/>
      <dgm:spPr/>
      <dgm:t>
        <a:bodyPr/>
        <a:lstStyle/>
        <a:p>
          <a:endParaRPr lang="en-GB"/>
        </a:p>
      </dgm:t>
    </dgm:pt>
    <dgm:pt modelId="{BDF3A407-372B-43E7-AEE0-2FA6A831BF24}">
      <dgm:prSet custT="1"/>
      <dgm:spPr/>
      <dgm:t>
        <a:bodyPr/>
        <a:lstStyle/>
        <a:p>
          <a:r>
            <a:rPr lang="en-GB" sz="1600" b="0" i="0" u="none">
              <a:latin typeface="+mn-lt"/>
            </a:rPr>
            <a:t>2 x afternoon 1 tank boat trips</a:t>
          </a:r>
          <a:endParaRPr lang="en-GB" sz="1600">
            <a:latin typeface="+mn-lt"/>
          </a:endParaRPr>
        </a:p>
      </dgm:t>
    </dgm:pt>
    <dgm:pt modelId="{FA353904-0CB5-4D23-A12F-5A74C2860B80}" type="sibTrans" cxnId="{D5DC4819-6A65-4B5E-BACB-FF6EE2A2FF83}">
      <dgm:prSet/>
      <dgm:spPr/>
      <dgm:t>
        <a:bodyPr/>
        <a:lstStyle/>
        <a:p>
          <a:endParaRPr lang="en-GB"/>
        </a:p>
      </dgm:t>
    </dgm:pt>
    <dgm:pt modelId="{4E2461CD-723B-4847-B629-B4473E634CCC}" type="parTrans" cxnId="{D5DC4819-6A65-4B5E-BACB-FF6EE2A2FF83}">
      <dgm:prSet/>
      <dgm:spPr/>
      <dgm:t>
        <a:bodyPr/>
        <a:lstStyle/>
        <a:p>
          <a:endParaRPr lang="en-GB"/>
        </a:p>
      </dgm:t>
    </dgm:pt>
    <dgm:pt modelId="{683E15CD-4E20-4DA1-AFA8-4859F9F30189}">
      <dgm:prSet custT="1"/>
      <dgm:spPr/>
      <dgm:t>
        <a:bodyPr/>
        <a:lstStyle/>
        <a:p>
          <a:r>
            <a:rPr lang="en-GB" sz="1600" b="1" i="0" u="none">
              <a:latin typeface="+mn-lt"/>
            </a:rPr>
            <a:t>Only one group per week is eligible for the PRE-DEMA incentives</a:t>
          </a:r>
          <a:endParaRPr lang="en-GB" sz="1600">
            <a:latin typeface="+mn-lt"/>
          </a:endParaRPr>
        </a:p>
      </dgm:t>
    </dgm:pt>
    <dgm:pt modelId="{6C63DA9D-B05E-407E-B46F-79FC0B3491CF}" type="sibTrans" cxnId="{D8214645-7ECB-4AA0-9387-63035C73040E}">
      <dgm:prSet/>
      <dgm:spPr/>
      <dgm:t>
        <a:bodyPr/>
        <a:lstStyle/>
        <a:p>
          <a:endParaRPr lang="en-GB"/>
        </a:p>
      </dgm:t>
    </dgm:pt>
    <dgm:pt modelId="{AC10CDED-5666-4AB6-B1A5-0FE41EEDB15D}" type="parTrans" cxnId="{D8214645-7ECB-4AA0-9387-63035C73040E}">
      <dgm:prSet/>
      <dgm:spPr/>
      <dgm:t>
        <a:bodyPr/>
        <a:lstStyle/>
        <a:p>
          <a:endParaRPr lang="en-GB"/>
        </a:p>
      </dgm:t>
    </dgm:pt>
    <dgm:pt modelId="{31F82237-C416-48F0-8564-335AF6D81390}">
      <dgm:prSet custT="1"/>
      <dgm:spPr/>
      <dgm:t>
        <a:bodyPr/>
        <a:lstStyle/>
        <a:p>
          <a:r>
            <a:rPr lang="en-US" sz="2000" b="1"/>
            <a:t>Daily made to order breakfast</a:t>
          </a:r>
        </a:p>
      </dgm:t>
    </dgm:pt>
    <dgm:pt modelId="{6B69AADB-8A37-4151-A364-465694F48AED}" type="parTrans" cxnId="{B242353E-3AF5-48ED-89FF-D1CBC1F1B6E6}">
      <dgm:prSet/>
      <dgm:spPr/>
      <dgm:t>
        <a:bodyPr/>
        <a:lstStyle/>
        <a:p>
          <a:endParaRPr lang="en-GB"/>
        </a:p>
      </dgm:t>
    </dgm:pt>
    <dgm:pt modelId="{5E24B7F6-76A5-457E-ACC0-5354D54FBE42}" type="sibTrans" cxnId="{B242353E-3AF5-48ED-89FF-D1CBC1F1B6E6}">
      <dgm:prSet/>
      <dgm:spPr/>
      <dgm:t>
        <a:bodyPr/>
        <a:lstStyle/>
        <a:p>
          <a:endParaRPr lang="en-GB"/>
        </a:p>
      </dgm:t>
    </dgm:pt>
    <dgm:pt modelId="{B8B08CA3-4324-5A4E-BCFD-BF0D0749E53A}" type="pres">
      <dgm:prSet presAssocID="{C2F1D55A-00BB-BF49-8B2F-D9D4FF77B410}" presName="Name0" presStyleCnt="0">
        <dgm:presLayoutVars>
          <dgm:chMax val="7"/>
          <dgm:chPref val="7"/>
          <dgm:dir/>
          <dgm:animOne val="branch"/>
          <dgm:animLvl val="lvl"/>
        </dgm:presLayoutVars>
      </dgm:prSet>
      <dgm:spPr/>
    </dgm:pt>
    <dgm:pt modelId="{C087EEA8-4C4C-1843-972C-01AC3B857359}" type="pres">
      <dgm:prSet presAssocID="{B2C64979-F3E1-F04E-941A-F1946A6108BA}" presName="composite" presStyleCnt="0"/>
      <dgm:spPr/>
    </dgm:pt>
    <dgm:pt modelId="{5438F190-3B9F-724D-8C14-2F67C0F19C9A}" type="pres">
      <dgm:prSet presAssocID="{B2C64979-F3E1-F04E-941A-F1946A6108BA}" presName="BackAccent" presStyleLbl="bgShp" presStyleIdx="0" presStyleCnt="1"/>
      <dgm:spPr/>
    </dgm:pt>
    <dgm:pt modelId="{F2C9143E-2B83-2041-BA95-7B46801A87F6}" type="pres">
      <dgm:prSet presAssocID="{B2C64979-F3E1-F04E-941A-F1946A6108BA}" presName="Accent" presStyleLbl="alignNode1" presStyleIdx="0" presStyleCnt="1"/>
      <dgm:spPr>
        <a:solidFill>
          <a:srgbClr val="FF6600"/>
        </a:solidFill>
      </dgm:spPr>
    </dgm:pt>
    <dgm:pt modelId="{CD402296-035F-434A-A9F1-CBA223EC9B9A}" type="pres">
      <dgm:prSet presAssocID="{B2C64979-F3E1-F04E-941A-F1946A6108BA}" presName="Child" presStyleLbl="revTx" presStyleIdx="0" presStyleCnt="2" custScaleX="180507" custScaleY="166636" custLinFactNeighborX="-11400" custLinFactNeighborY="15555">
        <dgm:presLayoutVars>
          <dgm:chMax val="0"/>
          <dgm:chPref val="0"/>
          <dgm:bulletEnabled val="1"/>
        </dgm:presLayoutVars>
      </dgm:prSet>
      <dgm:spPr/>
    </dgm:pt>
    <dgm:pt modelId="{7A083FDC-E9BB-6440-889D-3774DA820648}" type="pres">
      <dgm:prSet presAssocID="{B2C64979-F3E1-F04E-941A-F1946A6108BA}" presName="Parent" presStyleLbl="revTx" presStyleIdx="1" presStyleCnt="2" custLinFactNeighborX="-3248" custLinFactNeighborY="-51894">
        <dgm:presLayoutVars>
          <dgm:chMax val="1"/>
          <dgm:chPref val="1"/>
          <dgm:bulletEnabled val="1"/>
        </dgm:presLayoutVars>
      </dgm:prSet>
      <dgm:spPr/>
    </dgm:pt>
  </dgm:ptLst>
  <dgm:cxnLst>
    <dgm:cxn modelId="{62034D02-9165-4500-B955-A6A3292D90E2}" type="presOf" srcId="{683E15CD-4E20-4DA1-AFA8-4859F9F30189}" destId="{CD402296-035F-434A-A9F1-CBA223EC9B9A}" srcOrd="0" destOrd="15" presId="urn:microsoft.com/office/officeart/2008/layout/IncreasingCircleProcess"/>
    <dgm:cxn modelId="{B5DA3903-FAFE-7B42-BDD6-15E0F4862958}" type="presOf" srcId="{AB210DFD-9FFD-7E49-B80A-A22B07278FAE}" destId="{CD402296-035F-434A-A9F1-CBA223EC9B9A}" srcOrd="0" destOrd="16" presId="urn:microsoft.com/office/officeart/2008/layout/IncreasingCircleProcess"/>
    <dgm:cxn modelId="{74555509-E371-4771-A8BF-8B8C4A5A8D6B}" srcId="{B2C64979-F3E1-F04E-941A-F1946A6108BA}" destId="{428FCA6F-36C0-44F8-AA49-9CBB52068571}" srcOrd="7" destOrd="0" parTransId="{82DA4A54-8E0A-4F7D-9E6D-99265BFBBB6E}" sibTransId="{14936839-5963-4F6A-B055-1BB6DE5AD1FC}"/>
    <dgm:cxn modelId="{91BFF50A-2C98-384E-8A95-E3B4C828C17A}" srcId="{B2C64979-F3E1-F04E-941A-F1946A6108BA}" destId="{AB210DFD-9FFD-7E49-B80A-A22B07278FAE}" srcOrd="13" destOrd="0" parTransId="{CC2D1CBB-9F6F-EF4D-968E-5B591788679F}" sibTransId="{6554F2C3-98BA-4F46-83F2-ED83D72310F4}"/>
    <dgm:cxn modelId="{F4F95F0C-4F97-4DAC-B380-DA6ECE2D8E41}" srcId="{B2C64979-F3E1-F04E-941A-F1946A6108BA}" destId="{81B9B232-81C0-43A4-9FD6-0ECD6AB34B94}" srcOrd="6" destOrd="0" parTransId="{0E2B6AB8-FBA6-4FBC-BD88-189CE37FCA3C}" sibTransId="{93A7A0B0-22AE-422B-8B13-C42150E16D6B}"/>
    <dgm:cxn modelId="{B2780B0F-0423-4AF7-ADAB-0A94A332E22D}" srcId="{B2C64979-F3E1-F04E-941A-F1946A6108BA}" destId="{0F6FC41F-0769-4BA7-B78E-91D295FE4AD2}" srcOrd="1" destOrd="0" parTransId="{F06E0232-3AE2-4E5E-AD37-3649A530EF4C}" sibTransId="{869CAD3F-5C46-497D-BC73-F7CBE0BA678A}"/>
    <dgm:cxn modelId="{DA798712-A754-459F-ACF6-50D66F349F36}" srcId="{76DC5291-BC9D-4996-AA62-B0AB07911034}" destId="{1F6CBE83-AFD6-4F70-993F-255540CB58F7}" srcOrd="2" destOrd="0" parTransId="{3E55DEF2-4A0F-4A77-9D40-EAE6DB06691A}" sibTransId="{F8D6502D-7A3B-4B01-AF15-14D827F27D0E}"/>
    <dgm:cxn modelId="{39827318-B56F-44FA-9820-CB1F009AA17B}" type="presOf" srcId="{31929348-1D96-448C-8AFD-3A8047BB849E}" destId="{CD402296-035F-434A-A9F1-CBA223EC9B9A}" srcOrd="0" destOrd="4" presId="urn:microsoft.com/office/officeart/2008/layout/IncreasingCircleProcess"/>
    <dgm:cxn modelId="{D5DC4819-6A65-4B5E-BACB-FF6EE2A2FF83}" srcId="{B2C64979-F3E1-F04E-941A-F1946A6108BA}" destId="{BDF3A407-372B-43E7-AEE0-2FA6A831BF24}" srcOrd="11" destOrd="0" parTransId="{4E2461CD-723B-4847-B629-B4473E634CCC}" sibTransId="{FA353904-0CB5-4D23-A12F-5A74C2860B80}"/>
    <dgm:cxn modelId="{92A6081A-A194-4353-AD98-B5AF3559245C}" type="presOf" srcId="{A3F8043A-D3A2-4223-A923-345A184302DB}" destId="{CD402296-035F-434A-A9F1-CBA223EC9B9A}" srcOrd="0" destOrd="13" presId="urn:microsoft.com/office/officeart/2008/layout/IncreasingCircleProcess"/>
    <dgm:cxn modelId="{DEBBA023-45A7-7A48-82D7-9704CD292F7B}" srcId="{B2C64979-F3E1-F04E-941A-F1946A6108BA}" destId="{A498110A-AFA1-1B49-B034-A931549D97B2}" srcOrd="0" destOrd="0" parTransId="{F0AC7536-883B-2F42-98EE-8D01B1BF92B7}" sibTransId="{56B62260-9917-AD4E-82D8-C52A200DDAF3}"/>
    <dgm:cxn modelId="{64231926-91F6-48C2-BC02-5305239FCC8B}" srcId="{B2C64979-F3E1-F04E-941A-F1946A6108BA}" destId="{44DC19C3-8E57-429E-BA91-DABC4A621CB2}" srcOrd="5" destOrd="0" parTransId="{AEC7526A-61FE-4E2F-804C-E2F677170071}" sibTransId="{E8B62353-E82A-4319-88F2-F1D022E888EB}"/>
    <dgm:cxn modelId="{B242353E-3AF5-48ED-89FF-D1CBC1F1B6E6}" srcId="{76DC5291-BC9D-4996-AA62-B0AB07911034}" destId="{31F82237-C416-48F0-8564-335AF6D81390}" srcOrd="0" destOrd="0" parTransId="{6B69AADB-8A37-4151-A364-465694F48AED}" sibTransId="{5E24B7F6-76A5-457E-ACC0-5354D54FBE42}"/>
    <dgm:cxn modelId="{25348D3F-C99B-2B44-8E65-6C649DB8F47F}" srcId="{C2F1D55A-00BB-BF49-8B2F-D9D4FF77B410}" destId="{B2C64979-F3E1-F04E-941A-F1946A6108BA}" srcOrd="0" destOrd="0" parTransId="{8DFD79DE-113A-BF4B-B053-6352631A164A}" sibTransId="{EB430C93-659B-6C47-8D39-B74A2F593910}"/>
    <dgm:cxn modelId="{8921973F-24E8-4D5A-BA74-3C8BCB2FE92D}" type="presOf" srcId="{1F6CBE83-AFD6-4F70-993F-255540CB58F7}" destId="{CD402296-035F-434A-A9F1-CBA223EC9B9A}" srcOrd="0" destOrd="5" presId="urn:microsoft.com/office/officeart/2008/layout/IncreasingCircleProcess"/>
    <dgm:cxn modelId="{28FCD443-47E6-42B6-B6D8-AD9DE2631483}" type="presOf" srcId="{F5EAE97E-C045-4136-A6F2-B1C819097514}" destId="{CD402296-035F-434A-A9F1-CBA223EC9B9A}" srcOrd="0" destOrd="7" presId="urn:microsoft.com/office/officeart/2008/layout/IncreasingCircleProcess"/>
    <dgm:cxn modelId="{D8214645-7ECB-4AA0-9387-63035C73040E}" srcId="{B2C64979-F3E1-F04E-941A-F1946A6108BA}" destId="{683E15CD-4E20-4DA1-AFA8-4859F9F30189}" srcOrd="12" destOrd="0" parTransId="{AC10CDED-5666-4AB6-B1A5-0FE41EEDB15D}" sibTransId="{6C63DA9D-B05E-407E-B46F-79FC0B3491CF}"/>
    <dgm:cxn modelId="{02474965-447E-5D48-81E2-74187B7A3DC7}" type="presOf" srcId="{A498110A-AFA1-1B49-B034-A931549D97B2}" destId="{CD402296-035F-434A-A9F1-CBA223EC9B9A}" srcOrd="0" destOrd="0" presId="urn:microsoft.com/office/officeart/2008/layout/IncreasingCircleProcess"/>
    <dgm:cxn modelId="{71F5D566-FBEE-47FE-BBE4-0ABE2712165B}" type="presOf" srcId="{963F93B5-14AA-423C-8E07-4B7F5E66917A}" destId="{CD402296-035F-434A-A9F1-CBA223EC9B9A}" srcOrd="0" destOrd="12" presId="urn:microsoft.com/office/officeart/2008/layout/IncreasingCircleProcess"/>
    <dgm:cxn modelId="{DBF6D746-3789-46B5-80E1-FAC7B1F32D3C}" type="presOf" srcId="{44DC19C3-8E57-429E-BA91-DABC4A621CB2}" destId="{CD402296-035F-434A-A9F1-CBA223EC9B9A}" srcOrd="0" destOrd="8" presId="urn:microsoft.com/office/officeart/2008/layout/IncreasingCircleProcess"/>
    <dgm:cxn modelId="{98F3AC4E-9C25-4DA5-A111-DF6BB3239BCB}" srcId="{B2C64979-F3E1-F04E-941A-F1946A6108BA}" destId="{F5EAE97E-C045-4136-A6F2-B1C819097514}" srcOrd="4" destOrd="0" parTransId="{FADE8C5F-A675-4181-B369-3C2911FF0CEE}" sibTransId="{8CFAE92A-38CE-4E45-9F8E-7295A2FBFFA3}"/>
    <dgm:cxn modelId="{B0E16054-B621-46DA-AF29-EB5E65576273}" type="presOf" srcId="{0F6FC41F-0769-4BA7-B78E-91D295FE4AD2}" destId="{CD402296-035F-434A-A9F1-CBA223EC9B9A}" srcOrd="0" destOrd="1" presId="urn:microsoft.com/office/officeart/2008/layout/IncreasingCircleProcess"/>
    <dgm:cxn modelId="{BD83125A-9DD5-4AF2-9EA0-EB685EEDD78F}" type="presOf" srcId="{124373B7-B64B-40AD-9F79-33177AFEE5B8}" destId="{CD402296-035F-434A-A9F1-CBA223EC9B9A}" srcOrd="0" destOrd="6" presId="urn:microsoft.com/office/officeart/2008/layout/IncreasingCircleProcess"/>
    <dgm:cxn modelId="{BBBC7F83-693E-4E7A-A49A-3D6C53BB135B}" srcId="{B2C64979-F3E1-F04E-941A-F1946A6108BA}" destId="{A3F8043A-D3A2-4223-A923-345A184302DB}" srcOrd="10" destOrd="0" parTransId="{0387E49B-B665-407E-A246-DE9533D3EC50}" sibTransId="{15251C30-9129-44BC-837D-7443CB0EA7D6}"/>
    <dgm:cxn modelId="{54B4F985-085B-4E5E-8972-1C0E0FD53219}" type="presOf" srcId="{428FCA6F-36C0-44F8-AA49-9CBB52068571}" destId="{CD402296-035F-434A-A9F1-CBA223EC9B9A}" srcOrd="0" destOrd="10" presId="urn:microsoft.com/office/officeart/2008/layout/IncreasingCircleProcess"/>
    <dgm:cxn modelId="{8EF8928A-1D3E-4829-B7C2-D2A0641266F7}" type="presOf" srcId="{76DC5291-BC9D-4996-AA62-B0AB07911034}" destId="{CD402296-035F-434A-A9F1-CBA223EC9B9A}" srcOrd="0" destOrd="2" presId="urn:microsoft.com/office/officeart/2008/layout/IncreasingCircleProcess"/>
    <dgm:cxn modelId="{50B9018B-6E5E-4974-AC06-E8C900DEF53A}" type="presOf" srcId="{A215A116-0D26-4AD8-AF51-2D788961324A}" destId="{CD402296-035F-434A-A9F1-CBA223EC9B9A}" srcOrd="0" destOrd="11" presId="urn:microsoft.com/office/officeart/2008/layout/IncreasingCircleProcess"/>
    <dgm:cxn modelId="{749592AD-91E1-4B46-B0E3-FF7ED5D983D4}" srcId="{B2C64979-F3E1-F04E-941A-F1946A6108BA}" destId="{A215A116-0D26-4AD8-AF51-2D788961324A}" srcOrd="8" destOrd="0" parTransId="{3E1383AC-47FC-430C-8D72-8F62A561FA26}" sibTransId="{FB9934F9-4FC6-4A8C-8F51-4B8D865E2F29}"/>
    <dgm:cxn modelId="{3C38E6B5-76C0-274F-A2FB-986A22C0F959}" type="presOf" srcId="{C2F1D55A-00BB-BF49-8B2F-D9D4FF77B410}" destId="{B8B08CA3-4324-5A4E-BCFD-BF0D0749E53A}" srcOrd="0" destOrd="0" presId="urn:microsoft.com/office/officeart/2008/layout/IncreasingCircleProcess"/>
    <dgm:cxn modelId="{BF9B1FB6-29B3-4979-84FA-13FBAFE96E6D}" srcId="{B2C64979-F3E1-F04E-941A-F1946A6108BA}" destId="{124373B7-B64B-40AD-9F79-33177AFEE5B8}" srcOrd="3" destOrd="0" parTransId="{441FCCC9-C6DB-4869-80F4-F67A83FCAB56}" sibTransId="{5C5CD92F-1A8C-4167-A09E-BB625EEE412C}"/>
    <dgm:cxn modelId="{07395DBA-A566-4D8D-A541-34481EDEA2C5}" type="presOf" srcId="{31F82237-C416-48F0-8564-335AF6D81390}" destId="{CD402296-035F-434A-A9F1-CBA223EC9B9A}" srcOrd="0" destOrd="3" presId="urn:microsoft.com/office/officeart/2008/layout/IncreasingCircleProcess"/>
    <dgm:cxn modelId="{17EC55BA-524B-0842-975F-D72A9BC3849E}" type="presOf" srcId="{B2C64979-F3E1-F04E-941A-F1946A6108BA}" destId="{7A083FDC-E9BB-6440-889D-3774DA820648}" srcOrd="0" destOrd="0" presId="urn:microsoft.com/office/officeart/2008/layout/IncreasingCircleProcess"/>
    <dgm:cxn modelId="{E5669AD0-6AEC-40B0-ADF4-EF535E823DA4}" srcId="{B2C64979-F3E1-F04E-941A-F1946A6108BA}" destId="{76DC5291-BC9D-4996-AA62-B0AB07911034}" srcOrd="2" destOrd="0" parTransId="{A5AAE691-CE64-4B94-B6DA-3475241DE07E}" sibTransId="{92C9D0B2-FB2E-4BB2-9B3C-64B57187D0B7}"/>
    <dgm:cxn modelId="{BC2588D2-E1AB-4E3A-8CB9-0D813B46E60E}" srcId="{B2C64979-F3E1-F04E-941A-F1946A6108BA}" destId="{963F93B5-14AA-423C-8E07-4B7F5E66917A}" srcOrd="9" destOrd="0" parTransId="{9B413B86-F223-4AC8-938F-248C71336EED}" sibTransId="{4C47C8FA-81C9-4AF4-BC40-8752A376FB07}"/>
    <dgm:cxn modelId="{A673D3D5-BC15-456D-86FF-01AF8F3E2F04}" srcId="{76DC5291-BC9D-4996-AA62-B0AB07911034}" destId="{31929348-1D96-448C-8AFD-3A8047BB849E}" srcOrd="1" destOrd="0" parTransId="{E90F998B-35FF-4E59-9383-F6C10300F70D}" sibTransId="{CD096C52-F342-432D-B402-6D190768D65C}"/>
    <dgm:cxn modelId="{DEB37EDD-D195-4316-8872-BDA54DC3B76D}" type="presOf" srcId="{BDF3A407-372B-43E7-AEE0-2FA6A831BF24}" destId="{CD402296-035F-434A-A9F1-CBA223EC9B9A}" srcOrd="0" destOrd="14" presId="urn:microsoft.com/office/officeart/2008/layout/IncreasingCircleProcess"/>
    <dgm:cxn modelId="{171608FC-CD8F-4AEE-8BFA-E1C82E5F2218}" type="presOf" srcId="{81B9B232-81C0-43A4-9FD6-0ECD6AB34B94}" destId="{CD402296-035F-434A-A9F1-CBA223EC9B9A}" srcOrd="0" destOrd="9" presId="urn:microsoft.com/office/officeart/2008/layout/IncreasingCircleProcess"/>
    <dgm:cxn modelId="{2C15F4B4-9E76-6445-88E0-1D8BF313A8AE}" type="presParOf" srcId="{B8B08CA3-4324-5A4E-BCFD-BF0D0749E53A}" destId="{C087EEA8-4C4C-1843-972C-01AC3B857359}" srcOrd="0" destOrd="0" presId="urn:microsoft.com/office/officeart/2008/layout/IncreasingCircleProcess"/>
    <dgm:cxn modelId="{81F11103-B317-1447-A8D8-E3889E5CFD3B}" type="presParOf" srcId="{C087EEA8-4C4C-1843-972C-01AC3B857359}" destId="{5438F190-3B9F-724D-8C14-2F67C0F19C9A}" srcOrd="0" destOrd="0" presId="urn:microsoft.com/office/officeart/2008/layout/IncreasingCircleProcess"/>
    <dgm:cxn modelId="{15A5A31A-88FF-DC41-88DD-C993CD9BAEE3}" type="presParOf" srcId="{C087EEA8-4C4C-1843-972C-01AC3B857359}" destId="{F2C9143E-2B83-2041-BA95-7B46801A87F6}" srcOrd="1" destOrd="0" presId="urn:microsoft.com/office/officeart/2008/layout/IncreasingCircleProcess"/>
    <dgm:cxn modelId="{8A7CC624-5067-6043-8C55-FA1969DA77A9}" type="presParOf" srcId="{C087EEA8-4C4C-1843-972C-01AC3B857359}" destId="{CD402296-035F-434A-A9F1-CBA223EC9B9A}" srcOrd="2" destOrd="0" presId="urn:microsoft.com/office/officeart/2008/layout/IncreasingCircleProcess"/>
    <dgm:cxn modelId="{996BF241-C51C-894B-9B58-56FEEA4FB95F}" type="presParOf" srcId="{C087EEA8-4C4C-1843-972C-01AC3B857359}" destId="{7A083FDC-E9BB-6440-889D-3774DA820648}" srcOrd="3" destOrd="0" presId="urn:microsoft.com/office/officeart/2008/layout/IncreasingCircleProcess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6.xml><?xml version="1.0" encoding="utf-8"?>
<dgm:dataModel xmlns:dgm="http://schemas.openxmlformats.org/drawingml/2006/diagram" xmlns:a="http://schemas.openxmlformats.org/drawingml/2006/main">
  <dgm:ptLst>
    <dgm:pt modelId="{C2F1D55A-00BB-BF49-8B2F-D9D4FF77B410}" type="doc">
      <dgm:prSet loTypeId="urn:microsoft.com/office/officeart/2008/layout/IncreasingCircleProcess" loCatId="" qsTypeId="urn:microsoft.com/office/officeart/2005/8/quickstyle/simple4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B2C64979-F3E1-F04E-941A-F1946A6108BA}">
      <dgm:prSet phldrT="[Text]" custT="1"/>
      <dgm:spPr/>
      <dgm:t>
        <a:bodyPr/>
        <a:lstStyle/>
        <a:p>
          <a:r>
            <a:rPr lang="en-US" sz="4000"/>
            <a:t>LEVEL 3</a:t>
          </a:r>
        </a:p>
      </dgm:t>
    </dgm:pt>
    <dgm:pt modelId="{8DFD79DE-113A-BF4B-B053-6352631A164A}" type="parTrans" cxnId="{25348D3F-C99B-2B44-8E65-6C649DB8F47F}">
      <dgm:prSet/>
      <dgm:spPr/>
      <dgm:t>
        <a:bodyPr/>
        <a:lstStyle/>
        <a:p>
          <a:endParaRPr lang="en-US"/>
        </a:p>
      </dgm:t>
    </dgm:pt>
    <dgm:pt modelId="{EB430C93-659B-6C47-8D39-B74A2F593910}" type="sibTrans" cxnId="{25348D3F-C99B-2B44-8E65-6C649DB8F47F}">
      <dgm:prSet/>
      <dgm:spPr/>
      <dgm:t>
        <a:bodyPr/>
        <a:lstStyle/>
        <a:p>
          <a:endParaRPr lang="en-US"/>
        </a:p>
      </dgm:t>
    </dgm:pt>
    <dgm:pt modelId="{EB8A5A89-8231-4B43-8999-2086D0D6E231}">
      <dgm:prSet phldrT="[Text]" custT="1"/>
      <dgm:spPr/>
      <dgm:t>
        <a:bodyPr/>
        <a:lstStyle/>
        <a:p>
          <a:endParaRPr lang="en-US" sz="2000" b="1"/>
        </a:p>
        <a:p>
          <a:endParaRPr lang="en-US" sz="2000" b="1"/>
        </a:p>
        <a:p>
          <a:endParaRPr lang="en-US" sz="2000" b="1"/>
        </a:p>
        <a:p>
          <a:r>
            <a:rPr lang="en-US" sz="2000" b="1"/>
            <a:t>Seven Night Minimum</a:t>
          </a:r>
          <a:endParaRPr lang="en-US" sz="2000"/>
        </a:p>
      </dgm:t>
    </dgm:pt>
    <dgm:pt modelId="{BD43C7DB-388D-784F-8E15-34CEF6C9622F}" type="parTrans" cxnId="{88EB3006-9393-1848-B72E-089EE74E4140}">
      <dgm:prSet/>
      <dgm:spPr/>
      <dgm:t>
        <a:bodyPr/>
        <a:lstStyle/>
        <a:p>
          <a:endParaRPr lang="en-US"/>
        </a:p>
      </dgm:t>
    </dgm:pt>
    <dgm:pt modelId="{2849273E-06D3-394C-BF44-5DCE7660D0DE}" type="sibTrans" cxnId="{88EB3006-9393-1848-B72E-089EE74E4140}">
      <dgm:prSet/>
      <dgm:spPr/>
      <dgm:t>
        <a:bodyPr/>
        <a:lstStyle/>
        <a:p>
          <a:endParaRPr lang="en-US"/>
        </a:p>
      </dgm:t>
    </dgm:pt>
    <dgm:pt modelId="{15A83397-5C1D-46C7-B2C8-AC4ED3ED7CEA}">
      <dgm:prSet custT="1"/>
      <dgm:spPr/>
      <dgm:t>
        <a:bodyPr/>
        <a:lstStyle/>
        <a:p>
          <a:r>
            <a:rPr lang="en-US" sz="2000" b="1"/>
            <a:t>Five Days Morning Two Tank Boat Dive</a:t>
          </a:r>
        </a:p>
      </dgm:t>
    </dgm:pt>
    <dgm:pt modelId="{AEEE737B-5B2C-4B2A-ACEE-D090436084B1}" type="parTrans" cxnId="{0A3ABCA3-04C8-4A6A-9664-FEAD7C0BB263}">
      <dgm:prSet/>
      <dgm:spPr/>
      <dgm:t>
        <a:bodyPr/>
        <a:lstStyle/>
        <a:p>
          <a:endParaRPr lang="en-US"/>
        </a:p>
      </dgm:t>
    </dgm:pt>
    <dgm:pt modelId="{1D26F8AB-1F6A-48E0-A670-78095DA4D47C}" type="sibTrans" cxnId="{0A3ABCA3-04C8-4A6A-9664-FEAD7C0BB263}">
      <dgm:prSet/>
      <dgm:spPr/>
      <dgm:t>
        <a:bodyPr/>
        <a:lstStyle/>
        <a:p>
          <a:endParaRPr lang="en-US"/>
        </a:p>
      </dgm:t>
    </dgm:pt>
    <dgm:pt modelId="{7A1DDD5C-BB1A-446D-84F2-2DA04A796909}">
      <dgm:prSet custT="1"/>
      <dgm:spPr/>
      <dgm:t>
        <a:bodyPr/>
        <a:lstStyle/>
        <a:p>
          <a:r>
            <a:rPr lang="en-US" sz="2000" b="1"/>
            <a:t>Reflects a 25% discount off Room and Dive</a:t>
          </a:r>
        </a:p>
      </dgm:t>
    </dgm:pt>
    <dgm:pt modelId="{96214DC6-57C0-44B1-8040-32ECCAB79F95}" type="parTrans" cxnId="{07249D4C-B25D-4A72-B1D6-AABAD87A899D}">
      <dgm:prSet/>
      <dgm:spPr/>
      <dgm:t>
        <a:bodyPr/>
        <a:lstStyle/>
        <a:p>
          <a:endParaRPr lang="en-US"/>
        </a:p>
      </dgm:t>
    </dgm:pt>
    <dgm:pt modelId="{80E68533-FA2D-49B8-A6E4-ECC9E8B55640}" type="sibTrans" cxnId="{07249D4C-B25D-4A72-B1D6-AABAD87A899D}">
      <dgm:prSet/>
      <dgm:spPr/>
      <dgm:t>
        <a:bodyPr/>
        <a:lstStyle/>
        <a:p>
          <a:endParaRPr lang="en-US"/>
        </a:p>
      </dgm:t>
    </dgm:pt>
    <dgm:pt modelId="{D27526D7-2A23-46E8-8C9C-FD99E62149CE}">
      <dgm:prSet custT="1"/>
      <dgm:spPr/>
      <dgm:t>
        <a:bodyPr/>
        <a:lstStyle/>
        <a:p>
          <a:r>
            <a:rPr lang="en-US" sz="2000" b="1"/>
            <a:t>9:1  - 14:2 Comp Spot</a:t>
          </a:r>
        </a:p>
      </dgm:t>
    </dgm:pt>
    <dgm:pt modelId="{6936C25B-D044-4A41-8F37-30CBAACC2853}" type="parTrans" cxnId="{F971D150-AD4C-4F80-9EDC-CF9ACECCCFB0}">
      <dgm:prSet/>
      <dgm:spPr/>
      <dgm:t>
        <a:bodyPr/>
        <a:lstStyle/>
        <a:p>
          <a:endParaRPr lang="en-US"/>
        </a:p>
      </dgm:t>
    </dgm:pt>
    <dgm:pt modelId="{053E5BEC-04E1-4BAC-88AC-BD6F07D34666}" type="sibTrans" cxnId="{F971D150-AD4C-4F80-9EDC-CF9ACECCCFB0}">
      <dgm:prSet/>
      <dgm:spPr/>
      <dgm:t>
        <a:bodyPr/>
        <a:lstStyle/>
        <a:p>
          <a:endParaRPr lang="en-US"/>
        </a:p>
      </dgm:t>
    </dgm:pt>
    <dgm:pt modelId="{B84665E7-9A68-4915-A510-A7C084331230}">
      <dgm:prSet custT="1"/>
      <dgm:spPr/>
      <dgm:t>
        <a:bodyPr/>
        <a:lstStyle/>
        <a:p>
          <a:r>
            <a:rPr lang="en-US" sz="2000" b="1"/>
            <a:t>Transfers</a:t>
          </a:r>
        </a:p>
      </dgm:t>
    </dgm:pt>
    <dgm:pt modelId="{928A1E9E-7F80-4460-8730-455877B796FC}" type="parTrans" cxnId="{240CCE67-99AA-441C-AC4B-CBAFFA9A8A37}">
      <dgm:prSet/>
      <dgm:spPr/>
      <dgm:t>
        <a:bodyPr/>
        <a:lstStyle/>
        <a:p>
          <a:endParaRPr lang="en-US"/>
        </a:p>
      </dgm:t>
    </dgm:pt>
    <dgm:pt modelId="{E5582532-0AC6-4324-941E-186449D51600}" type="sibTrans" cxnId="{240CCE67-99AA-441C-AC4B-CBAFFA9A8A37}">
      <dgm:prSet/>
      <dgm:spPr/>
      <dgm:t>
        <a:bodyPr/>
        <a:lstStyle/>
        <a:p>
          <a:endParaRPr lang="en-US"/>
        </a:p>
      </dgm:t>
    </dgm:pt>
    <dgm:pt modelId="{49433C14-F3B9-4597-9270-10F2EBE67DA6}">
      <dgm:prSet custT="1"/>
      <dgm:spPr/>
      <dgm:t>
        <a:bodyPr/>
        <a:lstStyle/>
        <a:p>
          <a:r>
            <a:rPr lang="en-US" sz="2000" b="1"/>
            <a:t>Tax and Service</a:t>
          </a:r>
        </a:p>
      </dgm:t>
    </dgm:pt>
    <dgm:pt modelId="{5F1C2377-8072-49D3-ABBD-5105FC595FFB}" type="sibTrans" cxnId="{E0C7335F-B617-4B99-80EE-13D7F5ADF8B9}">
      <dgm:prSet/>
      <dgm:spPr/>
      <dgm:t>
        <a:bodyPr/>
        <a:lstStyle/>
        <a:p>
          <a:endParaRPr lang="en-US"/>
        </a:p>
      </dgm:t>
    </dgm:pt>
    <dgm:pt modelId="{D94857D5-5C5E-495D-A63A-B6D9F8309737}" type="parTrans" cxnId="{E0C7335F-B617-4B99-80EE-13D7F5ADF8B9}">
      <dgm:prSet/>
      <dgm:spPr/>
      <dgm:t>
        <a:bodyPr/>
        <a:lstStyle/>
        <a:p>
          <a:endParaRPr lang="en-US"/>
        </a:p>
      </dgm:t>
    </dgm:pt>
    <dgm:pt modelId="{93CCC41A-7B2F-48A5-A70E-DA3538E8EDDF}">
      <dgm:prSet custT="1"/>
      <dgm:spPr/>
      <dgm:t>
        <a:bodyPr/>
        <a:lstStyle/>
        <a:p>
          <a:endParaRPr lang="en-US" sz="2000" b="1"/>
        </a:p>
      </dgm:t>
    </dgm:pt>
    <dgm:pt modelId="{65EF1C1F-62AD-439A-A5DD-F8C51E6B815B}" type="sibTrans" cxnId="{BDAF0D8A-C1E1-4EDB-9470-505B95EF7E26}">
      <dgm:prSet/>
      <dgm:spPr/>
      <dgm:t>
        <a:bodyPr/>
        <a:lstStyle/>
        <a:p>
          <a:endParaRPr lang="en-GB"/>
        </a:p>
      </dgm:t>
    </dgm:pt>
    <dgm:pt modelId="{6193063F-39F1-4A7F-A405-2D0D4151DAB3}" type="parTrans" cxnId="{BDAF0D8A-C1E1-4EDB-9470-505B95EF7E26}">
      <dgm:prSet/>
      <dgm:spPr/>
      <dgm:t>
        <a:bodyPr/>
        <a:lstStyle/>
        <a:p>
          <a:endParaRPr lang="en-GB"/>
        </a:p>
      </dgm:t>
    </dgm:pt>
    <dgm:pt modelId="{F0C7244C-4B4A-4701-96B2-BB6C591AC4DE}">
      <dgm:prSet custT="1"/>
      <dgm:spPr/>
      <dgm:t>
        <a:bodyPr/>
        <a:lstStyle/>
        <a:p>
          <a:r>
            <a:rPr lang="en-GB" sz="1800" b="1" i="0" u="none">
              <a:latin typeface="+mn-lt"/>
            </a:rPr>
            <a:t>PRE-DEMA</a:t>
          </a:r>
          <a:endParaRPr lang="en-US" sz="1800" b="1">
            <a:latin typeface="+mn-lt"/>
          </a:endParaRPr>
        </a:p>
      </dgm:t>
    </dgm:pt>
    <dgm:pt modelId="{9FBF150A-8B3A-4799-868D-D0EE5CF6C77F}" type="sibTrans" cxnId="{8941B05F-3215-48E5-AB63-9577900E798F}">
      <dgm:prSet/>
      <dgm:spPr/>
      <dgm:t>
        <a:bodyPr/>
        <a:lstStyle/>
        <a:p>
          <a:endParaRPr lang="en-US"/>
        </a:p>
      </dgm:t>
    </dgm:pt>
    <dgm:pt modelId="{64D68B95-6A73-422E-9320-7D22E57934A4}" type="parTrans" cxnId="{8941B05F-3215-48E5-AB63-9577900E798F}">
      <dgm:prSet/>
      <dgm:spPr/>
      <dgm:t>
        <a:bodyPr/>
        <a:lstStyle/>
        <a:p>
          <a:endParaRPr lang="en-US"/>
        </a:p>
      </dgm:t>
    </dgm:pt>
    <dgm:pt modelId="{CBA04969-9D7A-496C-9DAB-84CF266807E1}">
      <dgm:prSet custT="1"/>
      <dgm:spPr/>
      <dgm:t>
        <a:bodyPr/>
        <a:lstStyle/>
        <a:p>
          <a:r>
            <a:rPr lang="en-GB" sz="1800" b="1" i="0" u="none">
              <a:latin typeface="+mn-lt"/>
            </a:rPr>
            <a:t>Book before DEMA 2020 New Orleans Show</a:t>
          </a:r>
          <a:endParaRPr lang="en-US" sz="1800" b="1">
            <a:latin typeface="+mn-lt"/>
          </a:endParaRPr>
        </a:p>
      </dgm:t>
    </dgm:pt>
    <dgm:pt modelId="{9A73DFD5-9BA6-461C-AD9A-9B04DFB29C24}" type="sibTrans" cxnId="{B3DC96FB-E749-4F50-940E-E1542834998F}">
      <dgm:prSet/>
      <dgm:spPr/>
      <dgm:t>
        <a:bodyPr/>
        <a:lstStyle/>
        <a:p>
          <a:endParaRPr lang="en-GB"/>
        </a:p>
      </dgm:t>
    </dgm:pt>
    <dgm:pt modelId="{5271AC18-A408-4C8F-9D76-5FB60C0DC7A7}" type="parTrans" cxnId="{B3DC96FB-E749-4F50-940E-E1542834998F}">
      <dgm:prSet/>
      <dgm:spPr/>
      <dgm:t>
        <a:bodyPr/>
        <a:lstStyle/>
        <a:p>
          <a:endParaRPr lang="en-GB"/>
        </a:p>
      </dgm:t>
    </dgm:pt>
    <dgm:pt modelId="{37E8389B-72EF-4118-BAC9-7AE8420D57E8}">
      <dgm:prSet custT="1"/>
      <dgm:spPr/>
      <dgm:t>
        <a:bodyPr/>
        <a:lstStyle/>
        <a:p>
          <a:r>
            <a:rPr lang="en-GB" sz="1800" b="1" i="0" u="none">
              <a:latin typeface="+mn-lt"/>
            </a:rPr>
            <a:t>Incentives all groups</a:t>
          </a:r>
          <a:endParaRPr lang="en-GB" sz="1800">
            <a:latin typeface="+mn-lt"/>
          </a:endParaRPr>
        </a:p>
      </dgm:t>
    </dgm:pt>
    <dgm:pt modelId="{356AB311-49EC-4DDB-AF95-97EA9CDE450A}" type="sibTrans" cxnId="{068A3248-1A74-4B5B-8E8F-177CFF0CE4E8}">
      <dgm:prSet/>
      <dgm:spPr/>
      <dgm:t>
        <a:bodyPr/>
        <a:lstStyle/>
        <a:p>
          <a:endParaRPr lang="en-GB"/>
        </a:p>
      </dgm:t>
    </dgm:pt>
    <dgm:pt modelId="{99C47795-2C92-486F-A3CC-3D0098359F19}" type="parTrans" cxnId="{068A3248-1A74-4B5B-8E8F-177CFF0CE4E8}">
      <dgm:prSet/>
      <dgm:spPr/>
      <dgm:t>
        <a:bodyPr/>
        <a:lstStyle/>
        <a:p>
          <a:endParaRPr lang="en-GB"/>
        </a:p>
      </dgm:t>
    </dgm:pt>
    <dgm:pt modelId="{7B3693AB-3691-4D2F-9DFD-B0E4D2A1D3C1}">
      <dgm:prSet custT="1"/>
      <dgm:spPr/>
      <dgm:t>
        <a:bodyPr/>
        <a:lstStyle/>
        <a:p>
          <a:r>
            <a:rPr lang="en-GB" sz="1800" b="0" i="0" u="none">
              <a:latin typeface="+mn-lt"/>
            </a:rPr>
            <a:t>FREE KW &amp; SRC as a 2nd dive with 16+ divers</a:t>
          </a:r>
          <a:endParaRPr lang="en-GB" sz="1800">
            <a:latin typeface="+mn-lt"/>
          </a:endParaRPr>
        </a:p>
      </dgm:t>
    </dgm:pt>
    <dgm:pt modelId="{5560E752-3803-4B5A-8773-8DF6B0C645EA}" type="sibTrans" cxnId="{73C049ED-AB22-482B-9218-CB4729CFC3ED}">
      <dgm:prSet/>
      <dgm:spPr/>
      <dgm:t>
        <a:bodyPr/>
        <a:lstStyle/>
        <a:p>
          <a:endParaRPr lang="en-GB"/>
        </a:p>
      </dgm:t>
    </dgm:pt>
    <dgm:pt modelId="{753A9792-5E09-41A7-9CC1-BA6E6DA67675}" type="parTrans" cxnId="{73C049ED-AB22-482B-9218-CB4729CFC3ED}">
      <dgm:prSet/>
      <dgm:spPr/>
      <dgm:t>
        <a:bodyPr/>
        <a:lstStyle/>
        <a:p>
          <a:endParaRPr lang="en-GB"/>
        </a:p>
      </dgm:t>
    </dgm:pt>
    <dgm:pt modelId="{008F4EE3-692F-4603-9236-BD1BD53016BA}">
      <dgm:prSet custT="1"/>
      <dgm:spPr/>
      <dgm:t>
        <a:bodyPr/>
        <a:lstStyle/>
        <a:p>
          <a:r>
            <a:rPr lang="en-GB" sz="1800" b="1" i="0" u="none">
              <a:latin typeface="+mn-lt"/>
            </a:rPr>
            <a:t>And then choose 1 from the following</a:t>
          </a:r>
          <a:endParaRPr lang="en-GB" sz="1800">
            <a:latin typeface="+mn-lt"/>
          </a:endParaRPr>
        </a:p>
      </dgm:t>
    </dgm:pt>
    <dgm:pt modelId="{62320C71-B382-493A-8A7D-28AFB8CF1536}" type="sibTrans" cxnId="{6C5D1688-6E0F-4B5C-A111-4C3F5AFA483F}">
      <dgm:prSet/>
      <dgm:spPr/>
      <dgm:t>
        <a:bodyPr/>
        <a:lstStyle/>
        <a:p>
          <a:endParaRPr lang="en-GB"/>
        </a:p>
      </dgm:t>
    </dgm:pt>
    <dgm:pt modelId="{1585A58A-D6CE-438D-9960-40AADED37D36}" type="parTrans" cxnId="{6C5D1688-6E0F-4B5C-A111-4C3F5AFA483F}">
      <dgm:prSet/>
      <dgm:spPr/>
      <dgm:t>
        <a:bodyPr/>
        <a:lstStyle/>
        <a:p>
          <a:endParaRPr lang="en-GB"/>
        </a:p>
      </dgm:t>
    </dgm:pt>
    <dgm:pt modelId="{94DA4C97-BB4E-4700-BD10-19AEC4E5510D}">
      <dgm:prSet custT="1"/>
      <dgm:spPr/>
      <dgm:t>
        <a:bodyPr/>
        <a:lstStyle/>
        <a:p>
          <a:r>
            <a:rPr lang="en-GB" sz="1800" b="0" i="0" u="none">
              <a:latin typeface="+mn-lt"/>
            </a:rPr>
            <a:t>Free unlimited Nitrox</a:t>
          </a:r>
          <a:endParaRPr lang="en-GB" sz="1800">
            <a:latin typeface="+mn-lt"/>
          </a:endParaRPr>
        </a:p>
      </dgm:t>
    </dgm:pt>
    <dgm:pt modelId="{275CD510-A455-42BC-8E5E-19BB96306AF7}" type="sibTrans" cxnId="{CBD02BD8-7234-45C1-9673-CC7805F1E115}">
      <dgm:prSet/>
      <dgm:spPr/>
      <dgm:t>
        <a:bodyPr/>
        <a:lstStyle/>
        <a:p>
          <a:endParaRPr lang="en-GB"/>
        </a:p>
      </dgm:t>
    </dgm:pt>
    <dgm:pt modelId="{C8A6D614-4856-43D8-86AC-0C375B7DCE48}" type="parTrans" cxnId="{CBD02BD8-7234-45C1-9673-CC7805F1E115}">
      <dgm:prSet/>
      <dgm:spPr/>
      <dgm:t>
        <a:bodyPr/>
        <a:lstStyle/>
        <a:p>
          <a:endParaRPr lang="en-GB"/>
        </a:p>
      </dgm:t>
    </dgm:pt>
    <dgm:pt modelId="{E06B616C-7C1B-4374-AF2B-3E7AE7F4FC82}">
      <dgm:prSet custT="1"/>
      <dgm:spPr/>
      <dgm:t>
        <a:bodyPr/>
        <a:lstStyle/>
        <a:p>
          <a:r>
            <a:rPr lang="en-GB" sz="1800" b="0" i="0" u="none">
              <a:latin typeface="+mn-lt"/>
            </a:rPr>
            <a:t>Extra 2 tank morning boat trip</a:t>
          </a:r>
          <a:endParaRPr lang="en-GB" sz="1800">
            <a:latin typeface="+mn-lt"/>
          </a:endParaRPr>
        </a:p>
      </dgm:t>
    </dgm:pt>
    <dgm:pt modelId="{B31670C9-9D98-475C-9BBF-D7E165C3E8A8}" type="sibTrans" cxnId="{F92439B3-3886-4CC4-A53E-0AB3F99F0A71}">
      <dgm:prSet/>
      <dgm:spPr/>
      <dgm:t>
        <a:bodyPr/>
        <a:lstStyle/>
        <a:p>
          <a:endParaRPr lang="en-GB"/>
        </a:p>
      </dgm:t>
    </dgm:pt>
    <dgm:pt modelId="{D2052C53-39FD-431C-A4FC-7CA98728E6DB}" type="parTrans" cxnId="{F92439B3-3886-4CC4-A53E-0AB3F99F0A71}">
      <dgm:prSet/>
      <dgm:spPr/>
      <dgm:t>
        <a:bodyPr/>
        <a:lstStyle/>
        <a:p>
          <a:endParaRPr lang="en-GB"/>
        </a:p>
      </dgm:t>
    </dgm:pt>
    <dgm:pt modelId="{D15FE05A-47C1-47AE-A0E8-3613A2DCDE8C}">
      <dgm:prSet custT="1"/>
      <dgm:spPr/>
      <dgm:t>
        <a:bodyPr/>
        <a:lstStyle/>
        <a:p>
          <a:r>
            <a:rPr lang="en-GB" sz="1800" b="0" i="0" u="none">
              <a:latin typeface="+mn-lt"/>
            </a:rPr>
            <a:t>2 x afternoon 1 tank boat trips</a:t>
          </a:r>
          <a:endParaRPr lang="en-GB" sz="1800">
            <a:latin typeface="+mn-lt"/>
          </a:endParaRPr>
        </a:p>
      </dgm:t>
    </dgm:pt>
    <dgm:pt modelId="{8DDAD27D-7FE3-44F4-8C0D-CC0E585FE55F}" type="sibTrans" cxnId="{84F9A4EA-A673-4FBC-8F09-7C15D08320F8}">
      <dgm:prSet/>
      <dgm:spPr/>
      <dgm:t>
        <a:bodyPr/>
        <a:lstStyle/>
        <a:p>
          <a:endParaRPr lang="en-GB"/>
        </a:p>
      </dgm:t>
    </dgm:pt>
    <dgm:pt modelId="{EC300E05-FD6C-4F9D-B6C8-E986BDB26809}" type="parTrans" cxnId="{84F9A4EA-A673-4FBC-8F09-7C15D08320F8}">
      <dgm:prSet/>
      <dgm:spPr/>
      <dgm:t>
        <a:bodyPr/>
        <a:lstStyle/>
        <a:p>
          <a:endParaRPr lang="en-GB"/>
        </a:p>
      </dgm:t>
    </dgm:pt>
    <dgm:pt modelId="{3241F17B-5C13-46C4-A3CF-72E5367FA612}">
      <dgm:prSet custT="1"/>
      <dgm:spPr/>
      <dgm:t>
        <a:bodyPr/>
        <a:lstStyle/>
        <a:p>
          <a:r>
            <a:rPr lang="en-GB" sz="1800" b="1" i="0" u="none">
              <a:latin typeface="+mn-lt"/>
            </a:rPr>
            <a:t>Only one group per week is eligible for the PRE-DEMA incentives</a:t>
          </a:r>
          <a:endParaRPr lang="en-GB" sz="1800">
            <a:latin typeface="+mn-lt"/>
          </a:endParaRPr>
        </a:p>
      </dgm:t>
    </dgm:pt>
    <dgm:pt modelId="{9E3AB824-3FF0-4C5B-88E4-957AB513D64B}" type="sibTrans" cxnId="{44314AC1-EC4E-4F3A-A3F6-29516ADB2E90}">
      <dgm:prSet/>
      <dgm:spPr/>
      <dgm:t>
        <a:bodyPr/>
        <a:lstStyle/>
        <a:p>
          <a:endParaRPr lang="en-GB"/>
        </a:p>
      </dgm:t>
    </dgm:pt>
    <dgm:pt modelId="{6F8EB9DF-E542-4E44-B950-1E582E49C7D5}" type="parTrans" cxnId="{44314AC1-EC4E-4F3A-A3F6-29516ADB2E90}">
      <dgm:prSet/>
      <dgm:spPr/>
      <dgm:t>
        <a:bodyPr/>
        <a:lstStyle/>
        <a:p>
          <a:endParaRPr lang="en-GB"/>
        </a:p>
      </dgm:t>
    </dgm:pt>
    <dgm:pt modelId="{D76BDD0E-D61A-4AFD-AADC-E69352FDC5D2}">
      <dgm:prSet custT="1"/>
      <dgm:spPr/>
      <dgm:t>
        <a:bodyPr/>
        <a:lstStyle/>
        <a:p>
          <a:r>
            <a:rPr lang="en-US" sz="2000" b="1"/>
            <a:t>Daily made to order breakfast</a:t>
          </a:r>
        </a:p>
      </dgm:t>
    </dgm:pt>
    <dgm:pt modelId="{04075C35-6137-4624-8720-FAD2EA54B7DF}" type="parTrans" cxnId="{C33F4926-CE2F-4633-AFBB-9627A0D49A2B}">
      <dgm:prSet/>
      <dgm:spPr/>
      <dgm:t>
        <a:bodyPr/>
        <a:lstStyle/>
        <a:p>
          <a:endParaRPr lang="en-GB"/>
        </a:p>
      </dgm:t>
    </dgm:pt>
    <dgm:pt modelId="{4E2EFE4F-CDEF-4173-AC81-673E80E0FD06}" type="sibTrans" cxnId="{C33F4926-CE2F-4633-AFBB-9627A0D49A2B}">
      <dgm:prSet/>
      <dgm:spPr/>
      <dgm:t>
        <a:bodyPr/>
        <a:lstStyle/>
        <a:p>
          <a:endParaRPr lang="en-GB"/>
        </a:p>
      </dgm:t>
    </dgm:pt>
    <dgm:pt modelId="{B8B08CA3-4324-5A4E-BCFD-BF0D0749E53A}" type="pres">
      <dgm:prSet presAssocID="{C2F1D55A-00BB-BF49-8B2F-D9D4FF77B410}" presName="Name0" presStyleCnt="0">
        <dgm:presLayoutVars>
          <dgm:chMax val="7"/>
          <dgm:chPref val="7"/>
          <dgm:dir/>
          <dgm:animOne val="branch"/>
          <dgm:animLvl val="lvl"/>
        </dgm:presLayoutVars>
      </dgm:prSet>
      <dgm:spPr/>
    </dgm:pt>
    <dgm:pt modelId="{C087EEA8-4C4C-1843-972C-01AC3B857359}" type="pres">
      <dgm:prSet presAssocID="{B2C64979-F3E1-F04E-941A-F1946A6108BA}" presName="composite" presStyleCnt="0"/>
      <dgm:spPr/>
    </dgm:pt>
    <dgm:pt modelId="{5438F190-3B9F-724D-8C14-2F67C0F19C9A}" type="pres">
      <dgm:prSet presAssocID="{B2C64979-F3E1-F04E-941A-F1946A6108BA}" presName="BackAccent" presStyleLbl="bgShp" presStyleIdx="0" presStyleCnt="1"/>
      <dgm:spPr/>
    </dgm:pt>
    <dgm:pt modelId="{F2C9143E-2B83-2041-BA95-7B46801A87F6}" type="pres">
      <dgm:prSet presAssocID="{B2C64979-F3E1-F04E-941A-F1946A6108BA}" presName="Accent" presStyleLbl="alignNode1" presStyleIdx="0" presStyleCnt="1"/>
      <dgm:spPr>
        <a:solidFill>
          <a:srgbClr val="FF0000"/>
        </a:solidFill>
      </dgm:spPr>
    </dgm:pt>
    <dgm:pt modelId="{CD402296-035F-434A-A9F1-CBA223EC9B9A}" type="pres">
      <dgm:prSet presAssocID="{B2C64979-F3E1-F04E-941A-F1946A6108BA}" presName="Child" presStyleLbl="revTx" presStyleIdx="0" presStyleCnt="2" custScaleX="176099" custScaleY="150954" custLinFactNeighborX="-13308" custLinFactNeighborY="12641">
        <dgm:presLayoutVars>
          <dgm:chMax val="0"/>
          <dgm:chPref val="0"/>
          <dgm:bulletEnabled val="1"/>
        </dgm:presLayoutVars>
      </dgm:prSet>
      <dgm:spPr/>
    </dgm:pt>
    <dgm:pt modelId="{7A083FDC-E9BB-6440-889D-3774DA820648}" type="pres">
      <dgm:prSet presAssocID="{B2C64979-F3E1-F04E-941A-F1946A6108BA}" presName="Parent" presStyleLbl="revTx" presStyleIdx="1" presStyleCnt="2" custScaleY="48286">
        <dgm:presLayoutVars>
          <dgm:chMax val="1"/>
          <dgm:chPref val="1"/>
          <dgm:bulletEnabled val="1"/>
        </dgm:presLayoutVars>
      </dgm:prSet>
      <dgm:spPr/>
    </dgm:pt>
  </dgm:ptLst>
  <dgm:cxnLst>
    <dgm:cxn modelId="{88EB3006-9393-1848-B72E-089EE74E4140}" srcId="{B2C64979-F3E1-F04E-941A-F1946A6108BA}" destId="{EB8A5A89-8231-4B43-8999-2086D0D6E231}" srcOrd="0" destOrd="0" parTransId="{BD43C7DB-388D-784F-8E15-34CEF6C9622F}" sibTransId="{2849273E-06D3-394C-BF44-5DCE7660D0DE}"/>
    <dgm:cxn modelId="{C33F4926-CE2F-4633-AFBB-9627A0D49A2B}" srcId="{D27526D7-2A23-46E8-8C9C-FD99E62149CE}" destId="{D76BDD0E-D61A-4AFD-AADC-E69352FDC5D2}" srcOrd="0" destOrd="0" parTransId="{04075C35-6137-4624-8720-FAD2EA54B7DF}" sibTransId="{4E2EFE4F-CDEF-4173-AC81-673E80E0FD06}"/>
    <dgm:cxn modelId="{D5C57F30-9272-4C09-AADF-E8CB02606A98}" type="presOf" srcId="{7A1DDD5C-BB1A-446D-84F2-2DA04A796909}" destId="{CD402296-035F-434A-A9F1-CBA223EC9B9A}" srcOrd="0" destOrd="2" presId="urn:microsoft.com/office/officeart/2008/layout/IncreasingCircleProcess"/>
    <dgm:cxn modelId="{1905B931-0285-4386-BD44-40E3CE0D1B88}" type="presOf" srcId="{D15FE05A-47C1-47AE-A0E8-3613A2DCDE8C}" destId="{CD402296-035F-434A-A9F1-CBA223EC9B9A}" srcOrd="0" destOrd="15" presId="urn:microsoft.com/office/officeart/2008/layout/IncreasingCircleProcess"/>
    <dgm:cxn modelId="{1CB42133-802B-4FF8-AEFB-1F840DDEC816}" type="presOf" srcId="{37E8389B-72EF-4118-BAC9-7AE8420D57E8}" destId="{CD402296-035F-434A-A9F1-CBA223EC9B9A}" srcOrd="0" destOrd="10" presId="urn:microsoft.com/office/officeart/2008/layout/IncreasingCircleProcess"/>
    <dgm:cxn modelId="{25348D3F-C99B-2B44-8E65-6C649DB8F47F}" srcId="{C2F1D55A-00BB-BF49-8B2F-D9D4FF77B410}" destId="{B2C64979-F3E1-F04E-941A-F1946A6108BA}" srcOrd="0" destOrd="0" parTransId="{8DFD79DE-113A-BF4B-B053-6352631A164A}" sibTransId="{EB430C93-659B-6C47-8D39-B74A2F593910}"/>
    <dgm:cxn modelId="{78442E40-5B36-473F-94D4-851CC81F4611}" type="presOf" srcId="{F0C7244C-4B4A-4701-96B2-BB6C591AC4DE}" destId="{CD402296-035F-434A-A9F1-CBA223EC9B9A}" srcOrd="0" destOrd="8" presId="urn:microsoft.com/office/officeart/2008/layout/IncreasingCircleProcess"/>
    <dgm:cxn modelId="{E0C7335F-B617-4B99-80EE-13D7F5ADF8B9}" srcId="{D27526D7-2A23-46E8-8C9C-FD99E62149CE}" destId="{49433C14-F3B9-4597-9270-10F2EBE67DA6}" srcOrd="2" destOrd="0" parTransId="{D94857D5-5C5E-495D-A63A-B6D9F8309737}" sibTransId="{5F1C2377-8072-49D3-ABBD-5105FC595FFB}"/>
    <dgm:cxn modelId="{8941B05F-3215-48E5-AB63-9577900E798F}" srcId="{B2C64979-F3E1-F04E-941A-F1946A6108BA}" destId="{F0C7244C-4B4A-4701-96B2-BB6C591AC4DE}" srcOrd="5" destOrd="0" parTransId="{64D68B95-6A73-422E-9320-7D22E57934A4}" sibTransId="{9FBF150A-8B3A-4799-868D-D0EE5CF6C77F}"/>
    <dgm:cxn modelId="{C049BE5F-4081-426A-BE3D-A30AAD7D4FFF}" type="presOf" srcId="{B84665E7-9A68-4915-A510-A7C084331230}" destId="{CD402296-035F-434A-A9F1-CBA223EC9B9A}" srcOrd="0" destOrd="5" presId="urn:microsoft.com/office/officeart/2008/layout/IncreasingCircleProcess"/>
    <dgm:cxn modelId="{36626D41-13EA-4A23-847E-499ADDCB3AB4}" type="presOf" srcId="{94DA4C97-BB4E-4700-BD10-19AEC4E5510D}" destId="{CD402296-035F-434A-A9F1-CBA223EC9B9A}" srcOrd="0" destOrd="13" presId="urn:microsoft.com/office/officeart/2008/layout/IncreasingCircleProcess"/>
    <dgm:cxn modelId="{B6380F64-2BCB-254D-BAB0-2FA026408E78}" type="presOf" srcId="{C2F1D55A-00BB-BF49-8B2F-D9D4FF77B410}" destId="{B8B08CA3-4324-5A4E-BCFD-BF0D0749E53A}" srcOrd="0" destOrd="0" presId="urn:microsoft.com/office/officeart/2008/layout/IncreasingCircleProcess"/>
    <dgm:cxn modelId="{240CCE67-99AA-441C-AC4B-CBAFFA9A8A37}" srcId="{D27526D7-2A23-46E8-8C9C-FD99E62149CE}" destId="{B84665E7-9A68-4915-A510-A7C084331230}" srcOrd="1" destOrd="0" parTransId="{928A1E9E-7F80-4460-8730-455877B796FC}" sibTransId="{E5582532-0AC6-4324-941E-186449D51600}"/>
    <dgm:cxn modelId="{068A3248-1A74-4B5B-8E8F-177CFF0CE4E8}" srcId="{B2C64979-F3E1-F04E-941A-F1946A6108BA}" destId="{37E8389B-72EF-4118-BAC9-7AE8420D57E8}" srcOrd="7" destOrd="0" parTransId="{99C47795-2C92-486F-A3CC-3D0098359F19}" sibTransId="{356AB311-49EC-4DDB-AF95-97EA9CDE450A}"/>
    <dgm:cxn modelId="{F341994B-9FC9-400A-B0BA-C7C9A371247F}" type="presOf" srcId="{7B3693AB-3691-4D2F-9DFD-B0E4D2A1D3C1}" destId="{CD402296-035F-434A-A9F1-CBA223EC9B9A}" srcOrd="0" destOrd="11" presId="urn:microsoft.com/office/officeart/2008/layout/IncreasingCircleProcess"/>
    <dgm:cxn modelId="{07249D4C-B25D-4A72-B1D6-AABAD87A899D}" srcId="{B2C64979-F3E1-F04E-941A-F1946A6108BA}" destId="{7A1DDD5C-BB1A-446D-84F2-2DA04A796909}" srcOrd="2" destOrd="0" parTransId="{96214DC6-57C0-44B1-8040-32ECCAB79F95}" sibTransId="{80E68533-FA2D-49B8-A6E4-ECC9E8B55640}"/>
    <dgm:cxn modelId="{CF7DCF50-5168-4E60-989B-C5716D94F6E5}" type="presOf" srcId="{15A83397-5C1D-46C7-B2C8-AC4ED3ED7CEA}" destId="{CD402296-035F-434A-A9F1-CBA223EC9B9A}" srcOrd="0" destOrd="1" presId="urn:microsoft.com/office/officeart/2008/layout/IncreasingCircleProcess"/>
    <dgm:cxn modelId="{F971D150-AD4C-4F80-9EDC-CF9ACECCCFB0}" srcId="{B2C64979-F3E1-F04E-941A-F1946A6108BA}" destId="{D27526D7-2A23-46E8-8C9C-FD99E62149CE}" srcOrd="3" destOrd="0" parTransId="{6936C25B-D044-4A41-8F37-30CBAACC2853}" sibTransId="{053E5BEC-04E1-4BAC-88AC-BD6F07D34666}"/>
    <dgm:cxn modelId="{BF0BBF58-CBC6-467A-A0F1-0D3747AC4B7D}" type="presOf" srcId="{3241F17B-5C13-46C4-A3CF-72E5367FA612}" destId="{CD402296-035F-434A-A9F1-CBA223EC9B9A}" srcOrd="0" destOrd="16" presId="urn:microsoft.com/office/officeart/2008/layout/IncreasingCircleProcess"/>
    <dgm:cxn modelId="{24883E80-A5DC-8948-8CB2-41C2B2BAC1D6}" type="presOf" srcId="{B2C64979-F3E1-F04E-941A-F1946A6108BA}" destId="{7A083FDC-E9BB-6440-889D-3774DA820648}" srcOrd="0" destOrd="0" presId="urn:microsoft.com/office/officeart/2008/layout/IncreasingCircleProcess"/>
    <dgm:cxn modelId="{60A91A85-BA23-4A3A-B868-3C064A2CC0F1}" type="presOf" srcId="{93CCC41A-7B2F-48A5-A70E-DA3538E8EDDF}" destId="{CD402296-035F-434A-A9F1-CBA223EC9B9A}" srcOrd="0" destOrd="7" presId="urn:microsoft.com/office/officeart/2008/layout/IncreasingCircleProcess"/>
    <dgm:cxn modelId="{6C5D1688-6E0F-4B5C-A111-4C3F5AFA483F}" srcId="{B2C64979-F3E1-F04E-941A-F1946A6108BA}" destId="{008F4EE3-692F-4603-9236-BD1BD53016BA}" srcOrd="9" destOrd="0" parTransId="{1585A58A-D6CE-438D-9960-40AADED37D36}" sibTransId="{62320C71-B382-493A-8A7D-28AFB8CF1536}"/>
    <dgm:cxn modelId="{BDAF0D8A-C1E1-4EDB-9470-505B95EF7E26}" srcId="{B2C64979-F3E1-F04E-941A-F1946A6108BA}" destId="{93CCC41A-7B2F-48A5-A70E-DA3538E8EDDF}" srcOrd="4" destOrd="0" parTransId="{6193063F-39F1-4A7F-A405-2D0D4151DAB3}" sibTransId="{65EF1C1F-62AD-439A-A5DD-F8C51E6B815B}"/>
    <dgm:cxn modelId="{E09C598C-767B-4B38-A006-225E383289C8}" type="presOf" srcId="{49433C14-F3B9-4597-9270-10F2EBE67DA6}" destId="{CD402296-035F-434A-A9F1-CBA223EC9B9A}" srcOrd="0" destOrd="6" presId="urn:microsoft.com/office/officeart/2008/layout/IncreasingCircleProcess"/>
    <dgm:cxn modelId="{488B1B8F-A93D-4A78-9E12-C2C105793C02}" type="presOf" srcId="{E06B616C-7C1B-4374-AF2B-3E7AE7F4FC82}" destId="{CD402296-035F-434A-A9F1-CBA223EC9B9A}" srcOrd="0" destOrd="14" presId="urn:microsoft.com/office/officeart/2008/layout/IncreasingCircleProcess"/>
    <dgm:cxn modelId="{0A3ABCA3-04C8-4A6A-9664-FEAD7C0BB263}" srcId="{B2C64979-F3E1-F04E-941A-F1946A6108BA}" destId="{15A83397-5C1D-46C7-B2C8-AC4ED3ED7CEA}" srcOrd="1" destOrd="0" parTransId="{AEEE737B-5B2C-4B2A-ACEE-D090436084B1}" sibTransId="{1D26F8AB-1F6A-48E0-A670-78095DA4D47C}"/>
    <dgm:cxn modelId="{F92439B3-3886-4CC4-A53E-0AB3F99F0A71}" srcId="{B2C64979-F3E1-F04E-941A-F1946A6108BA}" destId="{E06B616C-7C1B-4374-AF2B-3E7AE7F4FC82}" srcOrd="11" destOrd="0" parTransId="{D2052C53-39FD-431C-A4FC-7CA98728E6DB}" sibTransId="{B31670C9-9D98-475C-9BBF-D7E165C3E8A8}"/>
    <dgm:cxn modelId="{21BA64B4-4397-5747-999F-C3100ACA9DFF}" type="presOf" srcId="{EB8A5A89-8231-4B43-8999-2086D0D6E231}" destId="{CD402296-035F-434A-A9F1-CBA223EC9B9A}" srcOrd="0" destOrd="0" presId="urn:microsoft.com/office/officeart/2008/layout/IncreasingCircleProcess"/>
    <dgm:cxn modelId="{A95E34BD-8B1A-4019-8842-B34E6353D54D}" type="presOf" srcId="{D27526D7-2A23-46E8-8C9C-FD99E62149CE}" destId="{CD402296-035F-434A-A9F1-CBA223EC9B9A}" srcOrd="0" destOrd="3" presId="urn:microsoft.com/office/officeart/2008/layout/IncreasingCircleProcess"/>
    <dgm:cxn modelId="{44314AC1-EC4E-4F3A-A3F6-29516ADB2E90}" srcId="{B2C64979-F3E1-F04E-941A-F1946A6108BA}" destId="{3241F17B-5C13-46C4-A3CF-72E5367FA612}" srcOrd="13" destOrd="0" parTransId="{6F8EB9DF-E542-4E44-B950-1E582E49C7D5}" sibTransId="{9E3AB824-3FF0-4C5B-88E4-957AB513D64B}"/>
    <dgm:cxn modelId="{BD3F94C5-2928-4318-A814-9AA44DAEDE02}" type="presOf" srcId="{008F4EE3-692F-4603-9236-BD1BD53016BA}" destId="{CD402296-035F-434A-A9F1-CBA223EC9B9A}" srcOrd="0" destOrd="12" presId="urn:microsoft.com/office/officeart/2008/layout/IncreasingCircleProcess"/>
    <dgm:cxn modelId="{CBD02BD8-7234-45C1-9673-CC7805F1E115}" srcId="{B2C64979-F3E1-F04E-941A-F1946A6108BA}" destId="{94DA4C97-BB4E-4700-BD10-19AEC4E5510D}" srcOrd="10" destOrd="0" parTransId="{C8A6D614-4856-43D8-86AC-0C375B7DCE48}" sibTransId="{275CD510-A455-42BC-8E5E-19BB96306AF7}"/>
    <dgm:cxn modelId="{F7FAA7DD-A150-47B8-A2B3-5A3FCBF95B7C}" type="presOf" srcId="{CBA04969-9D7A-496C-9DAB-84CF266807E1}" destId="{CD402296-035F-434A-A9F1-CBA223EC9B9A}" srcOrd="0" destOrd="9" presId="urn:microsoft.com/office/officeart/2008/layout/IncreasingCircleProcess"/>
    <dgm:cxn modelId="{84F9A4EA-A673-4FBC-8F09-7C15D08320F8}" srcId="{B2C64979-F3E1-F04E-941A-F1946A6108BA}" destId="{D15FE05A-47C1-47AE-A0E8-3613A2DCDE8C}" srcOrd="12" destOrd="0" parTransId="{EC300E05-FD6C-4F9D-B6C8-E986BDB26809}" sibTransId="{8DDAD27D-7FE3-44F4-8C0D-CC0E585FE55F}"/>
    <dgm:cxn modelId="{73C049ED-AB22-482B-9218-CB4729CFC3ED}" srcId="{B2C64979-F3E1-F04E-941A-F1946A6108BA}" destId="{7B3693AB-3691-4D2F-9DFD-B0E4D2A1D3C1}" srcOrd="8" destOrd="0" parTransId="{753A9792-5E09-41A7-9CC1-BA6E6DA67675}" sibTransId="{5560E752-3803-4B5A-8773-8DF6B0C645EA}"/>
    <dgm:cxn modelId="{B3DC96FB-E749-4F50-940E-E1542834998F}" srcId="{B2C64979-F3E1-F04E-941A-F1946A6108BA}" destId="{CBA04969-9D7A-496C-9DAB-84CF266807E1}" srcOrd="6" destOrd="0" parTransId="{5271AC18-A408-4C8F-9D76-5FB60C0DC7A7}" sibTransId="{9A73DFD5-9BA6-461C-AD9A-9B04DFB29C24}"/>
    <dgm:cxn modelId="{25CEFFFE-22AE-487E-A1C8-10C2CDF540BD}" type="presOf" srcId="{D76BDD0E-D61A-4AFD-AADC-E69352FDC5D2}" destId="{CD402296-035F-434A-A9F1-CBA223EC9B9A}" srcOrd="0" destOrd="4" presId="urn:microsoft.com/office/officeart/2008/layout/IncreasingCircleProcess"/>
    <dgm:cxn modelId="{867F3B43-86E0-CF44-9DA4-3154DC885B9F}" type="presParOf" srcId="{B8B08CA3-4324-5A4E-BCFD-BF0D0749E53A}" destId="{C087EEA8-4C4C-1843-972C-01AC3B857359}" srcOrd="0" destOrd="0" presId="urn:microsoft.com/office/officeart/2008/layout/IncreasingCircleProcess"/>
    <dgm:cxn modelId="{7FC8391C-90DF-6648-A627-649B30044675}" type="presParOf" srcId="{C087EEA8-4C4C-1843-972C-01AC3B857359}" destId="{5438F190-3B9F-724D-8C14-2F67C0F19C9A}" srcOrd="0" destOrd="0" presId="urn:microsoft.com/office/officeart/2008/layout/IncreasingCircleProcess"/>
    <dgm:cxn modelId="{2EB4E761-CF22-FC45-8E62-0CD6786E5E94}" type="presParOf" srcId="{C087EEA8-4C4C-1843-972C-01AC3B857359}" destId="{F2C9143E-2B83-2041-BA95-7B46801A87F6}" srcOrd="1" destOrd="0" presId="urn:microsoft.com/office/officeart/2008/layout/IncreasingCircleProcess"/>
    <dgm:cxn modelId="{5A1F1F67-7760-1E45-84C0-FFD1C0371170}" type="presParOf" srcId="{C087EEA8-4C4C-1843-972C-01AC3B857359}" destId="{CD402296-035F-434A-A9F1-CBA223EC9B9A}" srcOrd="2" destOrd="0" presId="urn:microsoft.com/office/officeart/2008/layout/IncreasingCircleProcess"/>
    <dgm:cxn modelId="{90EA940B-C706-6D48-9762-554DFC4252D1}" type="presParOf" srcId="{C087EEA8-4C4C-1843-972C-01AC3B857359}" destId="{7A083FDC-E9BB-6440-889D-3774DA820648}" srcOrd="3" destOrd="0" presId="urn:microsoft.com/office/officeart/2008/layout/IncreasingCircleProcess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5438F190-3B9F-724D-8C14-2F67C0F19C9A}">
      <dsp:nvSpPr>
        <dsp:cNvPr id="0" name=""/>
        <dsp:cNvSpPr/>
      </dsp:nvSpPr>
      <dsp:spPr>
        <a:xfrm>
          <a:off x="1857" y="0"/>
          <a:ext cx="1095736" cy="1095736"/>
        </a:xfrm>
        <a:prstGeom prst="ellipse">
          <a:avLst/>
        </a:prstGeom>
        <a:solidFill>
          <a:schemeClr val="accent1">
            <a:tint val="40000"/>
            <a:hueOff val="0"/>
            <a:satOff val="0"/>
            <a:lumOff val="0"/>
            <a:alphaOff val="0"/>
          </a:schemeClr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</dsp:sp>
    <dsp:sp modelId="{F2C9143E-2B83-2041-BA95-7B46801A87F6}">
      <dsp:nvSpPr>
        <dsp:cNvPr id="0" name=""/>
        <dsp:cNvSpPr/>
      </dsp:nvSpPr>
      <dsp:spPr>
        <a:xfrm>
          <a:off x="111431" y="109573"/>
          <a:ext cx="876589" cy="876589"/>
        </a:xfrm>
        <a:prstGeom prst="chord">
          <a:avLst>
            <a:gd name="adj1" fmla="val 16200000"/>
            <a:gd name="adj2" fmla="val 16200000"/>
          </a:avLst>
        </a:prstGeom>
        <a:solidFill>
          <a:srgbClr val="FFFF00"/>
        </a:soli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CD402296-035F-434A-A9F1-CBA223EC9B9A}">
      <dsp:nvSpPr>
        <dsp:cNvPr id="0" name=""/>
        <dsp:cNvSpPr/>
      </dsp:nvSpPr>
      <dsp:spPr>
        <a:xfrm>
          <a:off x="0" y="726386"/>
          <a:ext cx="5659982" cy="5598213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0800" tIns="50800" rIns="50800" bIns="50800" numCol="1" spcCol="1270" anchor="t" anchorCtr="0">
          <a:noAutofit/>
        </a:bodyPr>
        <a:lstStyle/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Seven Night Minimum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Five Days Morning Two Tank Boat Dive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Reflects a 20% discount off Room and Dive only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9:1  - 14:2 Comp Spot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Transfers/Breakfast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Tax and Service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endParaRPr lang="en-US" sz="2000" b="1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Incentives: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Group of 16 or more 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Kittiwake (on morning two tank)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Stingray City (on morning two tank)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Own Boat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(Kittiwake &amp; Stingray City are weather permitting)</a:t>
          </a:r>
        </a:p>
      </dsp:txBody>
      <dsp:txXfrm>
        <a:off x="0" y="726386"/>
        <a:ext cx="5659982" cy="5598213"/>
      </dsp:txXfrm>
    </dsp:sp>
    <dsp:sp modelId="{7A083FDC-E9BB-6440-889D-3774DA820648}">
      <dsp:nvSpPr>
        <dsp:cNvPr id="0" name=""/>
        <dsp:cNvSpPr/>
      </dsp:nvSpPr>
      <dsp:spPr>
        <a:xfrm>
          <a:off x="1325873" y="267469"/>
          <a:ext cx="3241555" cy="560798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01600" tIns="101600" rIns="101600" bIns="101600" numCol="1" spcCol="1270" anchor="b" anchorCtr="0">
          <a:noAutofit/>
        </a:bodyPr>
        <a:lstStyle/>
        <a:p>
          <a:pPr marL="0" lvl="0" indent="0" algn="l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4000" kern="1200"/>
            <a:t>LEVEL 1</a:t>
          </a:r>
        </a:p>
      </dsp:txBody>
      <dsp:txXfrm>
        <a:off x="1325873" y="267469"/>
        <a:ext cx="3241555" cy="560798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5438F190-3B9F-724D-8C14-2F67C0F19C9A}">
      <dsp:nvSpPr>
        <dsp:cNvPr id="0" name=""/>
        <dsp:cNvSpPr/>
      </dsp:nvSpPr>
      <dsp:spPr>
        <a:xfrm>
          <a:off x="838" y="398574"/>
          <a:ext cx="991152" cy="991152"/>
        </a:xfrm>
        <a:prstGeom prst="ellipse">
          <a:avLst/>
        </a:prstGeom>
        <a:solidFill>
          <a:schemeClr val="accent1">
            <a:tint val="40000"/>
            <a:hueOff val="0"/>
            <a:satOff val="0"/>
            <a:lumOff val="0"/>
            <a:alphaOff val="0"/>
          </a:schemeClr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</dsp:sp>
    <dsp:sp modelId="{F2C9143E-2B83-2041-BA95-7B46801A87F6}">
      <dsp:nvSpPr>
        <dsp:cNvPr id="0" name=""/>
        <dsp:cNvSpPr/>
      </dsp:nvSpPr>
      <dsp:spPr>
        <a:xfrm>
          <a:off x="99953" y="497689"/>
          <a:ext cx="792921" cy="792921"/>
        </a:xfrm>
        <a:prstGeom prst="chord">
          <a:avLst>
            <a:gd name="adj1" fmla="val 16200000"/>
            <a:gd name="adj2" fmla="val 16200000"/>
          </a:avLst>
        </a:prstGeom>
        <a:solidFill>
          <a:srgbClr val="FF6600"/>
        </a:soli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CD402296-035F-434A-A9F1-CBA223EC9B9A}">
      <dsp:nvSpPr>
        <dsp:cNvPr id="0" name=""/>
        <dsp:cNvSpPr/>
      </dsp:nvSpPr>
      <dsp:spPr>
        <a:xfrm>
          <a:off x="0" y="0"/>
          <a:ext cx="5292752" cy="6950554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0800" tIns="50800" rIns="50800" bIns="50800" numCol="1" spcCol="1270" anchor="t" anchorCtr="0">
          <a:noAutofit/>
        </a:bodyPr>
        <a:lstStyle/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2000" b="1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2000" b="1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Seven Night Minimum</a:t>
          </a:r>
          <a:endParaRPr lang="en-US" sz="2000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Five Days Morning Two Tank Boat Dive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Reflects a 25% discount off Room and Dive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9:1  - 14:2 Comp Spot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Transfers/Breakfast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Tax and Service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endParaRPr lang="en-US" sz="2000" b="1" kern="1200"/>
        </a:p>
        <a:p>
          <a:pPr marL="0" lvl="0" indent="0" algn="l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800" b="1" kern="1200"/>
            <a:t>Incentives:</a:t>
          </a:r>
        </a:p>
        <a:p>
          <a:pPr marL="0" lvl="0" indent="0" algn="l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800" b="1" kern="1200"/>
            <a:t>Group of 16 or more </a:t>
          </a:r>
        </a:p>
        <a:p>
          <a:pPr marL="171450" lvl="1" indent="-171450" algn="l" defTabSz="8001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1800" b="1" kern="1200"/>
            <a:t>Kittiwake (on morning two tank)</a:t>
          </a:r>
        </a:p>
        <a:p>
          <a:pPr marL="171450" lvl="1" indent="-171450" algn="l" defTabSz="8001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1800" b="1" kern="1200"/>
            <a:t>Stingray City (on morning two tank)</a:t>
          </a:r>
        </a:p>
        <a:p>
          <a:pPr marL="171450" lvl="1" indent="-171450" algn="l" defTabSz="8001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1800" b="1" kern="1200"/>
            <a:t>Own Boat</a:t>
          </a:r>
        </a:p>
        <a:p>
          <a:pPr marL="0" lvl="0" indent="0" algn="l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800" b="1" kern="1200"/>
            <a:t>(Kittiwake &amp; Stingray City are weather permitting)</a:t>
          </a:r>
          <a:endParaRPr lang="en-GB" sz="1800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2000" b="1" kern="1200"/>
        </a:p>
        <a:p>
          <a:pPr marL="0" lvl="0" indent="0" algn="l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200" kern="1200"/>
        </a:p>
        <a:p>
          <a:pPr marL="0" lvl="0" indent="0" algn="l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500" i="1" kern="1200"/>
        </a:p>
      </dsp:txBody>
      <dsp:txXfrm>
        <a:off x="0" y="0"/>
        <a:ext cx="5292752" cy="6950554"/>
      </dsp:txXfrm>
    </dsp:sp>
    <dsp:sp modelId="{7A083FDC-E9BB-6440-889D-3774DA820648}">
      <dsp:nvSpPr>
        <dsp:cNvPr id="0" name=""/>
        <dsp:cNvSpPr/>
      </dsp:nvSpPr>
      <dsp:spPr>
        <a:xfrm>
          <a:off x="1198480" y="398574"/>
          <a:ext cx="2932159" cy="991152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01600" tIns="101600" rIns="101600" bIns="101600" numCol="1" spcCol="1270" anchor="b" anchorCtr="0">
          <a:noAutofit/>
        </a:bodyPr>
        <a:lstStyle/>
        <a:p>
          <a:pPr marL="0" lvl="0" indent="0" algn="l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4000" kern="1200"/>
            <a:t>LEVEL 2</a:t>
          </a:r>
        </a:p>
      </dsp:txBody>
      <dsp:txXfrm>
        <a:off x="1198480" y="398574"/>
        <a:ext cx="2932159" cy="991152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5438F190-3B9F-724D-8C14-2F67C0F19C9A}">
      <dsp:nvSpPr>
        <dsp:cNvPr id="0" name=""/>
        <dsp:cNvSpPr/>
      </dsp:nvSpPr>
      <dsp:spPr>
        <a:xfrm>
          <a:off x="1490" y="80477"/>
          <a:ext cx="1115303" cy="1115303"/>
        </a:xfrm>
        <a:prstGeom prst="ellipse">
          <a:avLst/>
        </a:prstGeom>
        <a:solidFill>
          <a:schemeClr val="accent1">
            <a:tint val="40000"/>
            <a:hueOff val="0"/>
            <a:satOff val="0"/>
            <a:lumOff val="0"/>
            <a:alphaOff val="0"/>
          </a:schemeClr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</dsp:sp>
    <dsp:sp modelId="{F2C9143E-2B83-2041-BA95-7B46801A87F6}">
      <dsp:nvSpPr>
        <dsp:cNvPr id="0" name=""/>
        <dsp:cNvSpPr/>
      </dsp:nvSpPr>
      <dsp:spPr>
        <a:xfrm>
          <a:off x="113020" y="192007"/>
          <a:ext cx="892242" cy="892242"/>
        </a:xfrm>
        <a:prstGeom prst="chord">
          <a:avLst>
            <a:gd name="adj1" fmla="val 16200000"/>
            <a:gd name="adj2" fmla="val 16200000"/>
          </a:avLst>
        </a:prstGeom>
        <a:solidFill>
          <a:srgbClr val="FF0000"/>
        </a:soli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CD402296-035F-434A-A9F1-CBA223EC9B9A}">
      <dsp:nvSpPr>
        <dsp:cNvPr id="0" name=""/>
        <dsp:cNvSpPr/>
      </dsp:nvSpPr>
      <dsp:spPr>
        <a:xfrm>
          <a:off x="0" y="0"/>
          <a:ext cx="5810280" cy="7085131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0800" tIns="50800" rIns="50800" bIns="50800" numCol="1" spcCol="1270" anchor="t" anchorCtr="0">
          <a:noAutofit/>
        </a:bodyPr>
        <a:lstStyle/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2000" b="1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2000" b="1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Seven Night Minimum</a:t>
          </a:r>
          <a:endParaRPr lang="en-US" sz="2000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Five Days Morning Two Tank Boat Dive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Reflects a 30% discount off Room and Dive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9:1  - 14:2 Comp Spot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Transfers/Breakfast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Tax and Service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endParaRPr lang="en-US" sz="2000" b="1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Incentives: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Group of 16 or more 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Kittiwake (on morning two tank)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Stingray City (on morning two tank)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Own Boat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(Kittiwake &amp; Stingray City are weather permitting)</a:t>
          </a:r>
          <a:endParaRPr lang="en-GB" sz="2000" kern="1200"/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600" kern="1200"/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600" i="1" kern="1200"/>
            <a:t>.</a:t>
          </a:r>
        </a:p>
      </dsp:txBody>
      <dsp:txXfrm>
        <a:off x="0" y="0"/>
        <a:ext cx="5810280" cy="7085131"/>
      </dsp:txXfrm>
    </dsp:sp>
    <dsp:sp modelId="{7A083FDC-E9BB-6440-889D-3774DA820648}">
      <dsp:nvSpPr>
        <dsp:cNvPr id="0" name=""/>
        <dsp:cNvSpPr/>
      </dsp:nvSpPr>
      <dsp:spPr>
        <a:xfrm>
          <a:off x="1349149" y="368861"/>
          <a:ext cx="3299440" cy="538535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01600" tIns="101600" rIns="101600" bIns="101600" numCol="1" spcCol="1270" anchor="b" anchorCtr="0">
          <a:noAutofit/>
        </a:bodyPr>
        <a:lstStyle/>
        <a:p>
          <a:pPr marL="0" lvl="0" indent="0" algn="l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4000" kern="1200"/>
            <a:t>LEVEL 3</a:t>
          </a:r>
        </a:p>
      </dsp:txBody>
      <dsp:txXfrm>
        <a:off x="1349149" y="368861"/>
        <a:ext cx="3299440" cy="538535"/>
      </dsp:txXfrm>
    </dsp:sp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5438F190-3B9F-724D-8C14-2F67C0F19C9A}">
      <dsp:nvSpPr>
        <dsp:cNvPr id="0" name=""/>
        <dsp:cNvSpPr/>
      </dsp:nvSpPr>
      <dsp:spPr>
        <a:xfrm>
          <a:off x="182" y="0"/>
          <a:ext cx="1096372" cy="1096372"/>
        </a:xfrm>
        <a:prstGeom prst="ellipse">
          <a:avLst/>
        </a:prstGeom>
        <a:solidFill>
          <a:schemeClr val="accent1">
            <a:tint val="40000"/>
            <a:hueOff val="0"/>
            <a:satOff val="0"/>
            <a:lumOff val="0"/>
            <a:alphaOff val="0"/>
          </a:schemeClr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</dsp:sp>
    <dsp:sp modelId="{F2C9143E-2B83-2041-BA95-7B46801A87F6}">
      <dsp:nvSpPr>
        <dsp:cNvPr id="0" name=""/>
        <dsp:cNvSpPr/>
      </dsp:nvSpPr>
      <dsp:spPr>
        <a:xfrm>
          <a:off x="109819" y="109637"/>
          <a:ext cx="877098" cy="877098"/>
        </a:xfrm>
        <a:prstGeom prst="chord">
          <a:avLst>
            <a:gd name="adj1" fmla="val 16200000"/>
            <a:gd name="adj2" fmla="val 16200000"/>
          </a:avLst>
        </a:prstGeom>
        <a:solidFill>
          <a:srgbClr val="FFFF00"/>
        </a:soli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CD402296-035F-434A-A9F1-CBA223EC9B9A}">
      <dsp:nvSpPr>
        <dsp:cNvPr id="0" name=""/>
        <dsp:cNvSpPr/>
      </dsp:nvSpPr>
      <dsp:spPr>
        <a:xfrm>
          <a:off x="7855" y="761238"/>
          <a:ext cx="5663266" cy="5601461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0800" tIns="50800" rIns="50800" bIns="50800" numCol="1" spcCol="1270" anchor="t" anchorCtr="0">
          <a:noAutofit/>
        </a:bodyPr>
        <a:lstStyle/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2000" b="1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Seven Night Minimum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Five Days Morning Two Tank Boat Dive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Reflects a 15% discount off Room and Dive only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9:1  - 14:2 Comp Spot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Daily made to order breakfast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Transfers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Tax and Service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2000" b="1" kern="1200"/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600" b="1" i="0" u="none" kern="1200"/>
            <a:t>PRE-DEMA</a:t>
          </a:r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600" b="1" i="0" u="none" kern="1200"/>
            <a:t>Book before DEMA 2020 New Orleans Show</a:t>
          </a:r>
          <a:endParaRPr lang="en-US" sz="1600" b="1" kern="1200"/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600" b="1" i="0" u="none" kern="1200"/>
            <a:t>Incentives all groups</a:t>
          </a:r>
          <a:endParaRPr lang="en-GB" sz="1600" kern="1200"/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600" b="0" i="0" u="none" kern="1200"/>
            <a:t>FREE KW &amp; SRC as a 2nd dive with 16+ divers</a:t>
          </a:r>
          <a:endParaRPr lang="en-GB" sz="1600" kern="1200"/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600" b="1" i="0" u="none" kern="1200"/>
            <a:t>And then choose 1 from the following</a:t>
          </a:r>
          <a:endParaRPr lang="en-GB" sz="1600" kern="1200"/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600" b="0" i="0" u="none" kern="1200"/>
            <a:t>Free unlimited Nitrox</a:t>
          </a:r>
          <a:endParaRPr lang="en-GB" sz="1600" kern="1200"/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600" b="0" i="0" u="none" kern="1200"/>
            <a:t>Extra 2 tank morning boat trip</a:t>
          </a:r>
          <a:endParaRPr lang="en-GB" sz="1600" kern="1200"/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600" b="0" i="0" u="none" kern="1200"/>
            <a:t>2 x afternoon 1 tank boat trips</a:t>
          </a:r>
          <a:endParaRPr lang="en-GB" sz="1600" kern="1200"/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600" b="1" i="0" u="none" kern="1200"/>
            <a:t>Only one group per week is eligible for the PRE-DEMA incentives</a:t>
          </a:r>
          <a:endParaRPr lang="en-GB" sz="1600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2000" b="1" kern="1200"/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endParaRPr lang="en-US" sz="2000" b="1" kern="1200"/>
        </a:p>
      </dsp:txBody>
      <dsp:txXfrm>
        <a:off x="7855" y="761238"/>
        <a:ext cx="5663266" cy="5601461"/>
      </dsp:txXfrm>
    </dsp:sp>
    <dsp:sp modelId="{7A083FDC-E9BB-6440-889D-3774DA820648}">
      <dsp:nvSpPr>
        <dsp:cNvPr id="0" name=""/>
        <dsp:cNvSpPr/>
      </dsp:nvSpPr>
      <dsp:spPr>
        <a:xfrm>
          <a:off x="1324966" y="267624"/>
          <a:ext cx="3243436" cy="561123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01600" tIns="101600" rIns="101600" bIns="101600" numCol="1" spcCol="1270" anchor="b" anchorCtr="0">
          <a:noAutofit/>
        </a:bodyPr>
        <a:lstStyle/>
        <a:p>
          <a:pPr marL="0" lvl="0" indent="0" algn="l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4000" kern="1200"/>
            <a:t>LEVEL 1</a:t>
          </a:r>
        </a:p>
      </dsp:txBody>
      <dsp:txXfrm>
        <a:off x="1324966" y="267624"/>
        <a:ext cx="3243436" cy="561123"/>
      </dsp:txXfrm>
    </dsp:sp>
  </dsp:spTree>
</dsp:drawing>
</file>

<file path=xl/diagrams/drawing5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5438F190-3B9F-724D-8C14-2F67C0F19C9A}">
      <dsp:nvSpPr>
        <dsp:cNvPr id="0" name=""/>
        <dsp:cNvSpPr/>
      </dsp:nvSpPr>
      <dsp:spPr>
        <a:xfrm>
          <a:off x="838" y="398574"/>
          <a:ext cx="991152" cy="991152"/>
        </a:xfrm>
        <a:prstGeom prst="ellipse">
          <a:avLst/>
        </a:prstGeom>
        <a:solidFill>
          <a:schemeClr val="accent1">
            <a:tint val="40000"/>
            <a:hueOff val="0"/>
            <a:satOff val="0"/>
            <a:lumOff val="0"/>
            <a:alphaOff val="0"/>
          </a:schemeClr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</dsp:sp>
    <dsp:sp modelId="{F2C9143E-2B83-2041-BA95-7B46801A87F6}">
      <dsp:nvSpPr>
        <dsp:cNvPr id="0" name=""/>
        <dsp:cNvSpPr/>
      </dsp:nvSpPr>
      <dsp:spPr>
        <a:xfrm>
          <a:off x="99953" y="497689"/>
          <a:ext cx="792921" cy="792921"/>
        </a:xfrm>
        <a:prstGeom prst="chord">
          <a:avLst>
            <a:gd name="adj1" fmla="val 16200000"/>
            <a:gd name="adj2" fmla="val 16200000"/>
          </a:avLst>
        </a:prstGeom>
        <a:solidFill>
          <a:srgbClr val="FF6600"/>
        </a:soli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CD402296-035F-434A-A9F1-CBA223EC9B9A}">
      <dsp:nvSpPr>
        <dsp:cNvPr id="0" name=""/>
        <dsp:cNvSpPr/>
      </dsp:nvSpPr>
      <dsp:spPr>
        <a:xfrm>
          <a:off x="0" y="0"/>
          <a:ext cx="5292752" cy="6950554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0800" tIns="50800" rIns="50800" bIns="50800" numCol="1" spcCol="1270" anchor="t" anchorCtr="0">
          <a:noAutofit/>
        </a:bodyPr>
        <a:lstStyle/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2000" b="1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2000" b="1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2000" b="1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2000" b="1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Seven Night Minimum</a:t>
          </a:r>
          <a:endParaRPr lang="en-US" sz="2000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Five Days Morning Two Tank Boat Dive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Reflects a 20% discount off Room and Dive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9:1  - 14:2 Comp Spot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Daily made to order breakfast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Transfers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Tax and Service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2000" b="1" kern="1200"/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600" b="1" i="0" u="none" kern="1200">
              <a:latin typeface="+mn-lt"/>
            </a:rPr>
            <a:t>PRE-DEMA</a:t>
          </a:r>
          <a:endParaRPr lang="en-US" sz="1600" b="1" kern="1200">
            <a:latin typeface="+mn-lt"/>
          </a:endParaRPr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600" b="1" i="0" u="none" kern="1200">
              <a:latin typeface="+mn-lt"/>
            </a:rPr>
            <a:t>Book before DEMA 2020 New Orleans Show</a:t>
          </a:r>
          <a:endParaRPr lang="en-US" sz="1600" b="1" kern="1200">
            <a:latin typeface="+mn-lt"/>
          </a:endParaRPr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600" b="1" i="0" u="none" kern="1200">
              <a:latin typeface="+mn-lt"/>
            </a:rPr>
            <a:t>Incentives all groups</a:t>
          </a:r>
          <a:endParaRPr lang="en-GB" sz="1600" kern="1200">
            <a:latin typeface="+mn-lt"/>
          </a:endParaRPr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600" b="0" i="0" u="none" kern="1200">
              <a:latin typeface="+mn-lt"/>
            </a:rPr>
            <a:t>FREE KW &amp; SRC as a 2nd dive with 16+ divers</a:t>
          </a:r>
          <a:endParaRPr lang="en-GB" sz="1600" kern="1200">
            <a:latin typeface="+mn-lt"/>
          </a:endParaRPr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600" b="1" i="0" u="none" kern="1200">
              <a:latin typeface="+mn-lt"/>
            </a:rPr>
            <a:t>And then choose 1 from the following</a:t>
          </a:r>
          <a:endParaRPr lang="en-GB" sz="1600" kern="1200">
            <a:latin typeface="+mn-lt"/>
          </a:endParaRPr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600" b="0" i="0" u="none" kern="1200">
              <a:latin typeface="+mn-lt"/>
            </a:rPr>
            <a:t>Free unlimited Nitrox</a:t>
          </a:r>
          <a:endParaRPr lang="en-GB" sz="1600" kern="1200">
            <a:latin typeface="+mn-lt"/>
          </a:endParaRPr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600" b="0" i="0" u="none" kern="1200">
              <a:latin typeface="+mn-lt"/>
            </a:rPr>
            <a:t>Extra 2 tank morning boat trip</a:t>
          </a:r>
          <a:endParaRPr lang="en-GB" sz="1600" kern="1200">
            <a:latin typeface="+mn-lt"/>
          </a:endParaRPr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600" b="0" i="0" u="none" kern="1200">
              <a:latin typeface="+mn-lt"/>
            </a:rPr>
            <a:t>2 x afternoon 1 tank boat trips</a:t>
          </a:r>
          <a:endParaRPr lang="en-GB" sz="1600" kern="1200">
            <a:latin typeface="+mn-lt"/>
          </a:endParaRPr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600" b="1" i="0" u="none" kern="1200">
              <a:latin typeface="+mn-lt"/>
            </a:rPr>
            <a:t>Only one group per week is eligible for the PRE-DEMA incentives</a:t>
          </a:r>
          <a:endParaRPr lang="en-GB" sz="1600" kern="1200">
            <a:latin typeface="+mn-lt"/>
          </a:endParaRPr>
        </a:p>
        <a:p>
          <a:pPr marL="0" lvl="0" indent="0" algn="l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500" i="1" kern="1200"/>
        </a:p>
      </dsp:txBody>
      <dsp:txXfrm>
        <a:off x="0" y="0"/>
        <a:ext cx="5292752" cy="6950554"/>
      </dsp:txXfrm>
    </dsp:sp>
    <dsp:sp modelId="{7A083FDC-E9BB-6440-889D-3774DA820648}">
      <dsp:nvSpPr>
        <dsp:cNvPr id="0" name=""/>
        <dsp:cNvSpPr/>
      </dsp:nvSpPr>
      <dsp:spPr>
        <a:xfrm>
          <a:off x="1103244" y="0"/>
          <a:ext cx="2932159" cy="991152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01600" tIns="101600" rIns="101600" bIns="101600" numCol="1" spcCol="1270" anchor="b" anchorCtr="0">
          <a:noAutofit/>
        </a:bodyPr>
        <a:lstStyle/>
        <a:p>
          <a:pPr marL="0" lvl="0" indent="0" algn="l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4000" kern="1200"/>
            <a:t>LEVEL 2</a:t>
          </a:r>
        </a:p>
      </dsp:txBody>
      <dsp:txXfrm>
        <a:off x="1103244" y="0"/>
        <a:ext cx="2932159" cy="991152"/>
      </dsp:txXfrm>
    </dsp:sp>
  </dsp:spTree>
</dsp:drawing>
</file>

<file path=xl/diagrams/drawing6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5438F190-3B9F-724D-8C14-2F67C0F19C9A}">
      <dsp:nvSpPr>
        <dsp:cNvPr id="0" name=""/>
        <dsp:cNvSpPr/>
      </dsp:nvSpPr>
      <dsp:spPr>
        <a:xfrm>
          <a:off x="1490" y="80477"/>
          <a:ext cx="1115303" cy="1115303"/>
        </a:xfrm>
        <a:prstGeom prst="ellipse">
          <a:avLst/>
        </a:prstGeom>
        <a:solidFill>
          <a:schemeClr val="accent1">
            <a:tint val="40000"/>
            <a:hueOff val="0"/>
            <a:satOff val="0"/>
            <a:lumOff val="0"/>
            <a:alphaOff val="0"/>
          </a:schemeClr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</dsp:sp>
    <dsp:sp modelId="{F2C9143E-2B83-2041-BA95-7B46801A87F6}">
      <dsp:nvSpPr>
        <dsp:cNvPr id="0" name=""/>
        <dsp:cNvSpPr/>
      </dsp:nvSpPr>
      <dsp:spPr>
        <a:xfrm>
          <a:off x="113020" y="192007"/>
          <a:ext cx="892242" cy="892242"/>
        </a:xfrm>
        <a:prstGeom prst="chord">
          <a:avLst>
            <a:gd name="adj1" fmla="val 16200000"/>
            <a:gd name="adj2" fmla="val 16200000"/>
          </a:avLst>
        </a:prstGeom>
        <a:solidFill>
          <a:srgbClr val="FF0000"/>
        </a:soli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CD402296-035F-434A-A9F1-CBA223EC9B9A}">
      <dsp:nvSpPr>
        <dsp:cNvPr id="0" name=""/>
        <dsp:cNvSpPr/>
      </dsp:nvSpPr>
      <dsp:spPr>
        <a:xfrm>
          <a:off x="0" y="0"/>
          <a:ext cx="5810280" cy="7085131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0800" tIns="50800" rIns="50800" bIns="50800" numCol="1" spcCol="1270" anchor="t" anchorCtr="0">
          <a:noAutofit/>
        </a:bodyPr>
        <a:lstStyle/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2000" b="1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2000" b="1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2000" b="1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Seven Night Minimum</a:t>
          </a:r>
          <a:endParaRPr lang="en-US" sz="2000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Five Days Morning Two Tank Boat Dive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Reflects a 25% discount off Room and Dive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9:1  - 14:2 Comp Spot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Daily made to order breakfast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Transfers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Tax and Service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2000" b="1" kern="1200"/>
        </a:p>
        <a:p>
          <a:pPr marL="0" lvl="0" indent="0" algn="l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800" b="1" i="0" u="none" kern="1200">
              <a:latin typeface="+mn-lt"/>
            </a:rPr>
            <a:t>PRE-DEMA</a:t>
          </a:r>
          <a:endParaRPr lang="en-US" sz="1800" b="1" kern="1200">
            <a:latin typeface="+mn-lt"/>
          </a:endParaRPr>
        </a:p>
        <a:p>
          <a:pPr marL="0" lvl="0" indent="0" algn="l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800" b="1" i="0" u="none" kern="1200">
              <a:latin typeface="+mn-lt"/>
            </a:rPr>
            <a:t>Book before DEMA 2020 New Orleans Show</a:t>
          </a:r>
          <a:endParaRPr lang="en-US" sz="1800" b="1" kern="1200">
            <a:latin typeface="+mn-lt"/>
          </a:endParaRPr>
        </a:p>
        <a:p>
          <a:pPr marL="0" lvl="0" indent="0" algn="l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800" b="1" i="0" u="none" kern="1200">
              <a:latin typeface="+mn-lt"/>
            </a:rPr>
            <a:t>Incentives all groups</a:t>
          </a:r>
          <a:endParaRPr lang="en-GB" sz="1800" kern="1200">
            <a:latin typeface="+mn-lt"/>
          </a:endParaRPr>
        </a:p>
        <a:p>
          <a:pPr marL="0" lvl="0" indent="0" algn="l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800" b="0" i="0" u="none" kern="1200">
              <a:latin typeface="+mn-lt"/>
            </a:rPr>
            <a:t>FREE KW &amp; SRC as a 2nd dive with 16+ divers</a:t>
          </a:r>
          <a:endParaRPr lang="en-GB" sz="1800" kern="1200">
            <a:latin typeface="+mn-lt"/>
          </a:endParaRPr>
        </a:p>
        <a:p>
          <a:pPr marL="0" lvl="0" indent="0" algn="l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800" b="1" i="0" u="none" kern="1200">
              <a:latin typeface="+mn-lt"/>
            </a:rPr>
            <a:t>And then choose 1 from the following</a:t>
          </a:r>
          <a:endParaRPr lang="en-GB" sz="1800" kern="1200">
            <a:latin typeface="+mn-lt"/>
          </a:endParaRPr>
        </a:p>
        <a:p>
          <a:pPr marL="0" lvl="0" indent="0" algn="l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800" b="0" i="0" u="none" kern="1200">
              <a:latin typeface="+mn-lt"/>
            </a:rPr>
            <a:t>Free unlimited Nitrox</a:t>
          </a:r>
          <a:endParaRPr lang="en-GB" sz="1800" kern="1200">
            <a:latin typeface="+mn-lt"/>
          </a:endParaRPr>
        </a:p>
        <a:p>
          <a:pPr marL="0" lvl="0" indent="0" algn="l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800" b="0" i="0" u="none" kern="1200">
              <a:latin typeface="+mn-lt"/>
            </a:rPr>
            <a:t>Extra 2 tank morning boat trip</a:t>
          </a:r>
          <a:endParaRPr lang="en-GB" sz="1800" kern="1200">
            <a:latin typeface="+mn-lt"/>
          </a:endParaRPr>
        </a:p>
        <a:p>
          <a:pPr marL="0" lvl="0" indent="0" algn="l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800" b="0" i="0" u="none" kern="1200">
              <a:latin typeface="+mn-lt"/>
            </a:rPr>
            <a:t>2 x afternoon 1 tank boat trips</a:t>
          </a:r>
          <a:endParaRPr lang="en-GB" sz="1800" kern="1200">
            <a:latin typeface="+mn-lt"/>
          </a:endParaRPr>
        </a:p>
        <a:p>
          <a:pPr marL="0" lvl="0" indent="0" algn="l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800" b="1" i="0" u="none" kern="1200">
              <a:latin typeface="+mn-lt"/>
            </a:rPr>
            <a:t>Only one group per week is eligible for the PRE-DEMA incentives</a:t>
          </a:r>
          <a:endParaRPr lang="en-GB" sz="1800" kern="1200">
            <a:latin typeface="+mn-lt"/>
          </a:endParaRPr>
        </a:p>
      </dsp:txBody>
      <dsp:txXfrm>
        <a:off x="0" y="0"/>
        <a:ext cx="5810280" cy="7085131"/>
      </dsp:txXfrm>
    </dsp:sp>
    <dsp:sp modelId="{7A083FDC-E9BB-6440-889D-3774DA820648}">
      <dsp:nvSpPr>
        <dsp:cNvPr id="0" name=""/>
        <dsp:cNvSpPr/>
      </dsp:nvSpPr>
      <dsp:spPr>
        <a:xfrm>
          <a:off x="1349149" y="368861"/>
          <a:ext cx="3299440" cy="538535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01600" tIns="101600" rIns="101600" bIns="101600" numCol="1" spcCol="1270" anchor="b" anchorCtr="0">
          <a:noAutofit/>
        </a:bodyPr>
        <a:lstStyle/>
        <a:p>
          <a:pPr marL="0" lvl="0" indent="0" algn="l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4000" kern="1200"/>
            <a:t>LEVEL 3</a:t>
          </a:r>
        </a:p>
      </dsp:txBody>
      <dsp:txXfrm>
        <a:off x="1349149" y="368861"/>
        <a:ext cx="3299440" cy="538535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8/layout/IncreasingCircleProcess">
  <dgm:title val=""/>
  <dgm:desc val=""/>
  <dgm:catLst>
    <dgm:cat type="list" pri="8300"/>
    <dgm:cat type="process" pri="4300"/>
  </dgm:catLst>
  <dgm:sampData>
    <dgm:dataModel>
      <dgm:ptLst>
        <dgm:pt modelId="0" type="doc"/>
        <dgm:pt modelId="10">
          <dgm:prSet phldr="1"/>
        </dgm:pt>
        <dgm:pt modelId="11">
          <dgm:prSet phldr="1"/>
        </dgm:pt>
        <dgm:pt modelId="20">
          <dgm:prSet phldr="1"/>
        </dgm:pt>
        <dgm:pt modelId="21">
          <dgm:prSet phldr="1"/>
        </dgm:pt>
        <dgm:pt modelId="30">
          <dgm:prSet phldr="1"/>
        </dgm:pt>
        <dgm:pt modelId="31">
          <dgm:prSet phldr="1"/>
        </dgm:pt>
      </dgm:ptLst>
      <dgm:cxnLst>
        <dgm:cxn modelId="40" srcId="0" destId="10" srcOrd="0" destOrd="0"/>
        <dgm:cxn modelId="12" srcId="10" destId="11" srcOrd="0" destOrd="0"/>
        <dgm:cxn modelId="50" srcId="0" destId="20" srcOrd="1" destOrd="0"/>
        <dgm:cxn modelId="22" srcId="20" destId="21" srcOrd="0" destOrd="0"/>
        <dgm:cxn modelId="60" srcId="0" destId="30" srcOrd="2" destOrd="0"/>
        <dgm:cxn modelId="32" srcId="30" destId="31" srcOrd="0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30" srcId="0" destId="10" srcOrd="0" destOrd="0"/>
        <dgm:cxn modelId="4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30" srcId="0" destId="10" srcOrd="0" destOrd="0"/>
        <dgm:cxn modelId="40" srcId="0" destId="20" srcOrd="1" destOrd="0"/>
      </dgm:cxnLst>
      <dgm:bg/>
      <dgm:whole/>
    </dgm:dataModel>
  </dgm:clrData>
  <dgm:layoutNode name="Name0">
    <dgm:varLst>
      <dgm:chMax val="7"/>
      <dgm:chPref val="7"/>
      <dgm:dir/>
      <dgm:animOne val="branch"/>
      <dgm:animLvl val="lvl"/>
    </dgm:varLst>
    <dgm:choose name="Name1">
      <dgm:if name="Name2" func="var" arg="dir" op="equ" val="norm">
        <dgm:alg type="lin">
          <dgm:param type="linDir" val="fromL"/>
          <dgm:param type="horzAlign" val="ctr"/>
          <dgm:param type="vertAlign" val="t"/>
        </dgm:alg>
      </dgm:if>
      <dgm:else name="Name3">
        <dgm:alg type="lin">
          <dgm:param type="linDir" val="fromR"/>
          <dgm:param type="horzAlign" val="ctr"/>
          <dgm:param type="vertAlign" val="t"/>
        </dgm:alg>
      </dgm:else>
    </dgm:choose>
    <dgm:shape xmlns:r="http://schemas.openxmlformats.org/officeDocument/2006/relationships" r:blip="">
      <dgm:adjLst/>
    </dgm:shape>
    <dgm:constrLst>
      <dgm:constr type="primFontSz" for="des" forName="Child" val="65"/>
      <dgm:constr type="primFontSz" for="des" forName="Parent" val="65"/>
      <dgm:constr type="primFontSz" for="des" forName="Child" refType="primFontSz" refFor="des" refForName="Parent" op="lte"/>
      <dgm:constr type="w" for="ch" forName="composite" refType="w"/>
      <dgm:constr type="h" for="ch" forName="composite" refType="h"/>
      <dgm:constr type="sp" refType="w" refFor="ch" refForName="composite" op="equ" fact="0.05"/>
      <dgm:constr type="w" for="ch" forName="sibTrans" refType="h" refFor="ch" refForName="composite" op="equ" fact="0.04"/>
    </dgm:constrLst>
    <dgm:forEach name="nodesForEach" axis="ch" ptType="node" cnt="7">
      <dgm:layoutNode name="composite">
        <dgm:alg type="composite">
          <dgm:param type="ar" val="0.8"/>
        </dgm:alg>
        <dgm:choose name="Name4">
          <dgm:if name="Name5" func="var" arg="dir" op="equ" val="norm">
            <dgm:constrLst>
              <dgm:constr type="l" for="ch" forName="Child" refType="w" fact="0.29"/>
              <dgm:constr type="t" for="ch" forName="Child" refType="h" fact="0.192"/>
              <dgm:constr type="w" for="ch" forName="Child" refType="w" fact="0.71"/>
              <dgm:constr type="h" for="ch" forName="Child" refType="h" fact="0.808"/>
              <dgm:constr type="l" for="ch" forName="Parent" refType="w" fact="0.29"/>
              <dgm:constr type="t" for="ch" forName="Parent" refType="h" fact="0"/>
              <dgm:constr type="w" for="ch" forName="Parent" refType="w" fact="0.71"/>
              <dgm:constr type="h" for="ch" forName="Parent" refType="h" fact="0.192"/>
              <dgm:constr type="l" for="ch" forName="BackAccent" refType="w" fact="0"/>
              <dgm:constr type="t" for="ch" forName="BackAccent" refType="h" fact="0"/>
              <dgm:constr type="w" for="ch" forName="BackAccent" refType="w" fact="0.24"/>
              <dgm:constr type="h" for="ch" forName="BackAccent" refType="h" fact="0.192"/>
              <dgm:constr type="l" for="ch" forName="Accent" refType="w" fact="0.024"/>
              <dgm:constr type="t" for="ch" forName="Accent" refType="h" fact="0.0192"/>
              <dgm:constr type="w" for="ch" forName="Accent" refType="w" fact="0.192"/>
              <dgm:constr type="h" for="ch" forName="Accent" refType="h" fact="0.1536"/>
            </dgm:constrLst>
          </dgm:if>
          <dgm:else name="Name6">
            <dgm:constrLst>
              <dgm:constr type="r" for="ch" forName="Child" refType="w" fact="0.71"/>
              <dgm:constr type="t" for="ch" forName="Child" refType="h" fact="0.192"/>
              <dgm:constr type="w" for="ch" forName="Child" refType="w" fact="0.71"/>
              <dgm:constr type="h" for="ch" forName="Child" refType="h" fact="0.808"/>
              <dgm:constr type="r" for="ch" forName="Parent" refType="w" fact="0.71"/>
              <dgm:constr type="t" for="ch" forName="Parent" refType="h" fact="0"/>
              <dgm:constr type="w" for="ch" forName="Parent" refType="w" fact="0.71"/>
              <dgm:constr type="h" for="ch" forName="Parent" refType="h" fact="0.192"/>
              <dgm:constr type="r" for="ch" forName="BackAccent" refType="w"/>
              <dgm:constr type="t" for="ch" forName="BackAccent" refType="h" fact="0"/>
              <dgm:constr type="w" for="ch" forName="BackAccent" refType="w" fact="0.24"/>
              <dgm:constr type="h" for="ch" forName="BackAccent" refType="h" fact="0.192"/>
              <dgm:constr type="r" for="ch" forName="Accent" refType="w" fact="0.976"/>
              <dgm:constr type="t" for="ch" forName="Accent" refType="h" fact="0.0192"/>
              <dgm:constr type="w" for="ch" forName="Accent" refType="w" fact="0.192"/>
              <dgm:constr type="h" for="ch" forName="Accent" refType="h" fact="0.1536"/>
            </dgm:constrLst>
          </dgm:else>
        </dgm:choose>
        <dgm:layoutNode name="BackAccent" styleLbl="bgShp">
          <dgm:alg type="sp"/>
          <dgm:shape xmlns:r="http://schemas.openxmlformats.org/officeDocument/2006/relationships" type="ellipse" r:blip="">
            <dgm:adjLst/>
          </dgm:shape>
          <dgm:presOf/>
        </dgm:layoutNode>
        <dgm:layoutNode name="Accent" styleLbl="alignNode1">
          <dgm:alg type="sp"/>
          <dgm:choose name="Name7">
            <dgm:if name="Name8" axis="precedSib" ptType="node" func="cnt" op="equ" val="0">
              <dgm:choose name="Name9">
                <dgm:if name="Name10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11" axis="followSib" ptType="node" func="cnt" op="equ" val="1">
                  <dgm:shape xmlns:r="http://schemas.openxmlformats.org/officeDocument/2006/relationships" type="chord" r:blip="">
                    <dgm:adjLst>
                      <dgm:adj idx="1" val="0"/>
                      <dgm:adj idx="2" val="180"/>
                    </dgm:adjLst>
                  </dgm:shape>
                </dgm:if>
                <dgm:if name="Name12" axis="followSib" ptType="node" func="cnt" op="equ" val="2">
                  <dgm:shape xmlns:r="http://schemas.openxmlformats.org/officeDocument/2006/relationships" type="chord" r:blip="">
                    <dgm:adjLst>
                      <dgm:adj idx="1" val="19.4712"/>
                      <dgm:adj idx="2" val="160.5288"/>
                    </dgm:adjLst>
                  </dgm:shape>
                </dgm:if>
                <dgm:if name="Name13" axis="followSib" ptType="node" func="cnt" op="equ" val="3">
                  <dgm:shape xmlns:r="http://schemas.openxmlformats.org/officeDocument/2006/relationships" type="chord" r:blip="">
                    <dgm:adjLst>
                      <dgm:adj idx="1" val="30"/>
                      <dgm:adj idx="2" val="150"/>
                    </dgm:adjLst>
                  </dgm:shape>
                </dgm:if>
                <dgm:if name="Name14" axis="followSib" ptType="node" func="cnt" op="equ" val="4">
                  <dgm:shape xmlns:r="http://schemas.openxmlformats.org/officeDocument/2006/relationships" type="chord" r:blip="">
                    <dgm:adjLst>
                      <dgm:adj idx="1" val="38.8699"/>
                      <dgm:adj idx="2" val="143.1301"/>
                    </dgm:adjLst>
                  </dgm:shape>
                </dgm:if>
                <dgm:if name="Name15" axis="followSib" ptType="node" func="cnt" op="equ" val="5">
                  <dgm:shape xmlns:r="http://schemas.openxmlformats.org/officeDocument/2006/relationships" type="chord" r:blip="">
                    <dgm:adjLst>
                      <dgm:adj idx="1" val="41.8103"/>
                      <dgm:adj idx="2" val="138.1897"/>
                    </dgm:adjLst>
                  </dgm:shape>
                </dgm:if>
                <dgm:else name="Name16">
                  <dgm:shape xmlns:r="http://schemas.openxmlformats.org/officeDocument/2006/relationships" type="chord" r:blip="">
                    <dgm:adjLst>
                      <dgm:adj idx="1" val="45.5847"/>
                      <dgm:adj idx="2" val="134.4153"/>
                    </dgm:adjLst>
                  </dgm:shape>
                </dgm:else>
              </dgm:choose>
            </dgm:if>
            <dgm:if name="Name17" axis="precedSib" ptType="node" func="cnt" op="equ" val="1">
              <dgm:choose name="Name18">
                <dgm:if name="Name19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20" axis="followSib" ptType="node" func="cnt" op="equ" val="1">
                  <dgm:shape xmlns:r="http://schemas.openxmlformats.org/officeDocument/2006/relationships" type="chord" r:blip="">
                    <dgm:adjLst>
                      <dgm:adj idx="1" val="-19.4712"/>
                      <dgm:adj idx="2" val="-160.5288"/>
                    </dgm:adjLst>
                  </dgm:shape>
                </dgm:if>
                <dgm:if name="Name21" axis="followSib" ptType="node" func="cnt" op="equ" val="2">
                  <dgm:shape xmlns:r="http://schemas.openxmlformats.org/officeDocument/2006/relationships" type="chord" r:blip="">
                    <dgm:adjLst>
                      <dgm:adj idx="1" val="0"/>
                      <dgm:adj idx="2" val="180"/>
                    </dgm:adjLst>
                  </dgm:shape>
                </dgm:if>
                <dgm:if name="Name22" axis="followSib" ptType="node" func="cnt" op="equ" val="3">
                  <dgm:shape xmlns:r="http://schemas.openxmlformats.org/officeDocument/2006/relationships" type="chord" r:blip="">
                    <dgm:adjLst>
                      <dgm:adj idx="1" val="11.537"/>
                      <dgm:adj idx="2" val="168.463"/>
                    </dgm:adjLst>
                  </dgm:shape>
                </dgm:if>
                <dgm:if name="Name23" axis="followSib" ptType="node" func="cnt" op="equ" val="4">
                  <dgm:shape xmlns:r="http://schemas.openxmlformats.org/officeDocument/2006/relationships" type="chord" r:blip="">
                    <dgm:adjLst>
                      <dgm:adj idx="1" val="19.4712"/>
                      <dgm:adj idx="2" val="160.5288"/>
                    </dgm:adjLst>
                  </dgm:shape>
                </dgm:if>
                <dgm:else name="Name24">
                  <dgm:shape xmlns:r="http://schemas.openxmlformats.org/officeDocument/2006/relationships" type="chord" r:blip="">
                    <dgm:adjLst>
                      <dgm:adj idx="1" val="25.3769"/>
                      <dgm:adj idx="2" val="154.6231"/>
                    </dgm:adjLst>
                  </dgm:shape>
                </dgm:else>
              </dgm:choose>
            </dgm:if>
            <dgm:if name="Name25" axis="precedSib" ptType="node" func="cnt" op="equ" val="2">
              <dgm:choose name="Name26">
                <dgm:if name="Name27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28" axis="followSib" ptType="node" func="cnt" op="equ" val="1">
                  <dgm:shape xmlns:r="http://schemas.openxmlformats.org/officeDocument/2006/relationships" type="chord" r:blip="">
                    <dgm:adjLst>
                      <dgm:adj idx="1" val="-30"/>
                      <dgm:adj idx="2" val="-150"/>
                    </dgm:adjLst>
                  </dgm:shape>
                </dgm:if>
                <dgm:if name="Name29" axis="followSib" ptType="node" func="cnt" op="equ" val="2">
                  <dgm:shape xmlns:r="http://schemas.openxmlformats.org/officeDocument/2006/relationships" type="chord" r:blip="">
                    <dgm:adjLst>
                      <dgm:adj idx="1" val="-11.537"/>
                      <dgm:adj idx="2" val="-168.463"/>
                    </dgm:adjLst>
                  </dgm:shape>
                </dgm:if>
                <dgm:if name="Name30" axis="followSib" ptType="node" func="cnt" op="equ" val="3">
                  <dgm:shape xmlns:r="http://schemas.openxmlformats.org/officeDocument/2006/relationships" type="chord" r:blip="">
                    <dgm:adjLst>
                      <dgm:adj idx="1" val="0"/>
                      <dgm:adj idx="2" val="180"/>
                    </dgm:adjLst>
                  </dgm:shape>
                </dgm:if>
                <dgm:else name="Name31">
                  <dgm:shape xmlns:r="http://schemas.openxmlformats.org/officeDocument/2006/relationships" type="chord" r:blip="">
                    <dgm:adjLst>
                      <dgm:adj idx="1" val="8.2133"/>
                      <dgm:adj idx="2" val="171.7867"/>
                    </dgm:adjLst>
                  </dgm:shape>
                </dgm:else>
              </dgm:choose>
            </dgm:if>
            <dgm:if name="Name32" axis="precedSib" ptType="node" func="cnt" op="equ" val="3">
              <dgm:choose name="Name33">
                <dgm:if name="Name34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35" axis="followSib" ptType="node" func="cnt" op="equ" val="1">
                  <dgm:shape xmlns:r="http://schemas.openxmlformats.org/officeDocument/2006/relationships" type="chord" r:blip="">
                    <dgm:adjLst>
                      <dgm:adj idx="1" val="-38.8699"/>
                      <dgm:adj idx="2" val="-143.1301"/>
                    </dgm:adjLst>
                  </dgm:shape>
                </dgm:if>
                <dgm:if name="Name36" axis="followSib" ptType="node" func="cnt" op="equ" val="2">
                  <dgm:shape xmlns:r="http://schemas.openxmlformats.org/officeDocument/2006/relationships" type="chord" r:blip="">
                    <dgm:adjLst>
                      <dgm:adj idx="1" val="-19.4712"/>
                      <dgm:adj idx="2" val="-160.5288"/>
                    </dgm:adjLst>
                  </dgm:shape>
                </dgm:if>
                <dgm:else name="Name37">
                  <dgm:shape xmlns:r="http://schemas.openxmlformats.org/officeDocument/2006/relationships" type="chord" r:blip="">
                    <dgm:adjLst>
                      <dgm:adj idx="1" val="-8.2133"/>
                      <dgm:adj idx="2" val="-171.7867"/>
                    </dgm:adjLst>
                  </dgm:shape>
                </dgm:else>
              </dgm:choose>
            </dgm:if>
            <dgm:if name="Name38" axis="precedSib" ptType="node" func="cnt" op="equ" val="4">
              <dgm:choose name="Name39">
                <dgm:if name="Name40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41" axis="followSib" ptType="node" func="cnt" op="equ" val="1">
                  <dgm:shape xmlns:r="http://schemas.openxmlformats.org/officeDocument/2006/relationships" type="chord" r:blip="">
                    <dgm:adjLst>
                      <dgm:adj idx="1" val="-41.8103"/>
                      <dgm:adj idx="2" val="-138.1897"/>
                    </dgm:adjLst>
                  </dgm:shape>
                </dgm:if>
                <dgm:else name="Name42">
                  <dgm:shape xmlns:r="http://schemas.openxmlformats.org/officeDocument/2006/relationships" type="chord" r:blip="">
                    <dgm:adjLst>
                      <dgm:adj idx="1" val="-25.3769"/>
                      <dgm:adj idx="2" val="-154.6231"/>
                    </dgm:adjLst>
                  </dgm:shape>
                </dgm:else>
              </dgm:choose>
            </dgm:if>
            <dgm:if name="Name43" axis="precedSib" ptType="node" func="cnt" op="equ" val="5">
              <dgm:choose name="Name44">
                <dgm:if name="Name45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else name="Name46">
                  <dgm:shape xmlns:r="http://schemas.openxmlformats.org/officeDocument/2006/relationships" type="chord" r:blip="">
                    <dgm:adjLst>
                      <dgm:adj idx="1" val="-45.5847"/>
                      <dgm:adj idx="2" val="-134.4153"/>
                    </dgm:adjLst>
                  </dgm:shape>
                </dgm:else>
              </dgm:choose>
            </dgm:if>
            <dgm:else name="Name47">
              <dgm:shape xmlns:r="http://schemas.openxmlformats.org/officeDocument/2006/relationships" type="chord" r:blip="">
                <dgm:adjLst>
                  <dgm:adj idx="1" val="-90"/>
                  <dgm:adj idx="2" val="-90"/>
                </dgm:adjLst>
              </dgm:shape>
            </dgm:else>
          </dgm:choose>
          <dgm:presOf/>
        </dgm:layoutNode>
        <dgm:layoutNode name="Child" styleLbl="revTx">
          <dgm:varLst>
            <dgm:chMax val="0"/>
            <dgm:chPref val="0"/>
            <dgm:bulletEnabled val="1"/>
          </dgm:varLst>
          <dgm:choose name="Name48">
            <dgm:if name="Name49" func="var" arg="dir" op="equ" val="norm">
              <dgm:alg type="tx">
                <dgm:param type="parTxLTRAlign" val="l"/>
                <dgm:param type="parTxRTLAlign" val="l"/>
                <dgm:param type="txAnchorVert" val="t"/>
              </dgm:alg>
            </dgm:if>
            <dgm:else name="Name50">
              <dgm:alg type="tx">
                <dgm:param type="parTxLTRAlign" val="r"/>
                <dgm:param type="parTxRTLAlign" val="r"/>
                <dgm:param type="txAnchorVert" val="t"/>
              </dgm:alg>
            </dgm:else>
          </dgm:choose>
          <dgm:choose name="Name51">
            <dgm:if name="Name52" axis="ch" ptType="node" func="cnt" op="gte" val="1">
              <dgm:shape xmlns:r="http://schemas.openxmlformats.org/officeDocument/2006/relationships" type="rect" r:blip="">
                <dgm:adjLst/>
              </dgm:shape>
            </dgm:if>
            <dgm:else name="Name53">
              <dgm:shape xmlns:r="http://schemas.openxmlformats.org/officeDocument/2006/relationships" type="rect" r:blip="" hideGeom="1">
                <dgm:adjLst/>
              </dgm:shape>
            </dgm:else>
          </dgm:choose>
          <dgm:choose name="Name54">
            <dgm:if name="Name55" axis="ch" ptType="node" func="cnt" op="gte" val="1">
              <dgm:presOf axis="des" ptType="node"/>
            </dgm:if>
            <dgm:else name="Name56">
              <dgm:presOf/>
            </dgm:else>
          </dgm:choose>
          <dgm:constrLst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  <dgm:layoutNode name="Parent" styleLbl="revTx">
          <dgm:varLst>
            <dgm:chMax val="1"/>
            <dgm:chPref val="1"/>
            <dgm:bulletEnabled val="1"/>
          </dgm:varLst>
          <dgm:choose name="Name57">
            <dgm:if name="Name58" func="var" arg="dir" op="equ" val="norm">
              <dgm:alg type="tx">
                <dgm:param type="parTxLTRAlign" val="l"/>
                <dgm:param type="parTxRTLAlign" val="l"/>
                <dgm:param type="shpTxLTRAlignCh" val="l"/>
                <dgm:param type="shpTxRTLAlignCh" val="l"/>
                <dgm:param type="txAnchorVert" val="b"/>
                <dgm:param type="txAnchorVertCh" val="b"/>
              </dgm:alg>
            </dgm:if>
            <dgm:else name="Name59">
              <dgm:alg type="tx">
                <dgm:param type="parTxLTRAlign" val="r"/>
                <dgm:param type="parTxRTLAlign" val="r"/>
                <dgm:param type="shpTxLTRAlignCh" val="r"/>
                <dgm:param type="shpTxRTLAlignCh" val="r"/>
                <dgm:param type="txAnchorVert" val="b"/>
                <dgm:param type="txAnchorVertCh" val="b"/>
              </dgm:alg>
            </dgm:else>
          </dgm:choose>
          <dgm:shape xmlns:r="http://schemas.openxmlformats.org/officeDocument/2006/relationships" type="rect" r:blip="">
            <dgm:adjLst/>
          </dgm:shape>
          <dgm:presOf axis="self" ptType="node"/>
          <dgm:constrLst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8/layout/IncreasingCircleProcess">
  <dgm:title val=""/>
  <dgm:desc val=""/>
  <dgm:catLst>
    <dgm:cat type="list" pri="8300"/>
    <dgm:cat type="process" pri="4300"/>
  </dgm:catLst>
  <dgm:sampData>
    <dgm:dataModel>
      <dgm:ptLst>
        <dgm:pt modelId="0" type="doc"/>
        <dgm:pt modelId="10">
          <dgm:prSet phldr="1"/>
        </dgm:pt>
        <dgm:pt modelId="11">
          <dgm:prSet phldr="1"/>
        </dgm:pt>
        <dgm:pt modelId="20">
          <dgm:prSet phldr="1"/>
        </dgm:pt>
        <dgm:pt modelId="21">
          <dgm:prSet phldr="1"/>
        </dgm:pt>
        <dgm:pt modelId="30">
          <dgm:prSet phldr="1"/>
        </dgm:pt>
        <dgm:pt modelId="31">
          <dgm:prSet phldr="1"/>
        </dgm:pt>
      </dgm:ptLst>
      <dgm:cxnLst>
        <dgm:cxn modelId="40" srcId="0" destId="10" srcOrd="0" destOrd="0"/>
        <dgm:cxn modelId="12" srcId="10" destId="11" srcOrd="0" destOrd="0"/>
        <dgm:cxn modelId="50" srcId="0" destId="20" srcOrd="1" destOrd="0"/>
        <dgm:cxn modelId="22" srcId="20" destId="21" srcOrd="0" destOrd="0"/>
        <dgm:cxn modelId="60" srcId="0" destId="30" srcOrd="2" destOrd="0"/>
        <dgm:cxn modelId="32" srcId="30" destId="31" srcOrd="0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30" srcId="0" destId="10" srcOrd="0" destOrd="0"/>
        <dgm:cxn modelId="4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30" srcId="0" destId="10" srcOrd="0" destOrd="0"/>
        <dgm:cxn modelId="40" srcId="0" destId="20" srcOrd="1" destOrd="0"/>
      </dgm:cxnLst>
      <dgm:bg/>
      <dgm:whole/>
    </dgm:dataModel>
  </dgm:clrData>
  <dgm:layoutNode name="Name0">
    <dgm:varLst>
      <dgm:chMax val="7"/>
      <dgm:chPref val="7"/>
      <dgm:dir/>
      <dgm:animOne val="branch"/>
      <dgm:animLvl val="lvl"/>
    </dgm:varLst>
    <dgm:choose name="Name1">
      <dgm:if name="Name2" func="var" arg="dir" op="equ" val="norm">
        <dgm:alg type="lin">
          <dgm:param type="linDir" val="fromL"/>
          <dgm:param type="horzAlign" val="ctr"/>
          <dgm:param type="vertAlign" val="t"/>
        </dgm:alg>
      </dgm:if>
      <dgm:else name="Name3">
        <dgm:alg type="lin">
          <dgm:param type="linDir" val="fromR"/>
          <dgm:param type="horzAlign" val="ctr"/>
          <dgm:param type="vertAlign" val="t"/>
        </dgm:alg>
      </dgm:else>
    </dgm:choose>
    <dgm:shape xmlns:r="http://schemas.openxmlformats.org/officeDocument/2006/relationships" r:blip="">
      <dgm:adjLst/>
    </dgm:shape>
    <dgm:constrLst>
      <dgm:constr type="primFontSz" for="des" forName="Child" val="65"/>
      <dgm:constr type="primFontSz" for="des" forName="Parent" val="65"/>
      <dgm:constr type="primFontSz" for="des" forName="Child" refType="primFontSz" refFor="des" refForName="Parent" op="lte"/>
      <dgm:constr type="w" for="ch" forName="composite" refType="w"/>
      <dgm:constr type="h" for="ch" forName="composite" refType="h"/>
      <dgm:constr type="sp" refType="w" refFor="ch" refForName="composite" op="equ" fact="0.05"/>
      <dgm:constr type="w" for="ch" forName="sibTrans" refType="h" refFor="ch" refForName="composite" op="equ" fact="0.04"/>
    </dgm:constrLst>
    <dgm:forEach name="nodesForEach" axis="ch" ptType="node" cnt="7">
      <dgm:layoutNode name="composite">
        <dgm:alg type="composite">
          <dgm:param type="ar" val="0.8"/>
        </dgm:alg>
        <dgm:choose name="Name4">
          <dgm:if name="Name5" func="var" arg="dir" op="equ" val="norm">
            <dgm:constrLst>
              <dgm:constr type="l" for="ch" forName="Child" refType="w" fact="0.29"/>
              <dgm:constr type="t" for="ch" forName="Child" refType="h" fact="0.192"/>
              <dgm:constr type="w" for="ch" forName="Child" refType="w" fact="0.71"/>
              <dgm:constr type="h" for="ch" forName="Child" refType="h" fact="0.808"/>
              <dgm:constr type="l" for="ch" forName="Parent" refType="w" fact="0.29"/>
              <dgm:constr type="t" for="ch" forName="Parent" refType="h" fact="0"/>
              <dgm:constr type="w" for="ch" forName="Parent" refType="w" fact="0.71"/>
              <dgm:constr type="h" for="ch" forName="Parent" refType="h" fact="0.192"/>
              <dgm:constr type="l" for="ch" forName="BackAccent" refType="w" fact="0"/>
              <dgm:constr type="t" for="ch" forName="BackAccent" refType="h" fact="0"/>
              <dgm:constr type="w" for="ch" forName="BackAccent" refType="w" fact="0.24"/>
              <dgm:constr type="h" for="ch" forName="BackAccent" refType="h" fact="0.192"/>
              <dgm:constr type="l" for="ch" forName="Accent" refType="w" fact="0.024"/>
              <dgm:constr type="t" for="ch" forName="Accent" refType="h" fact="0.0192"/>
              <dgm:constr type="w" for="ch" forName="Accent" refType="w" fact="0.192"/>
              <dgm:constr type="h" for="ch" forName="Accent" refType="h" fact="0.1536"/>
            </dgm:constrLst>
          </dgm:if>
          <dgm:else name="Name6">
            <dgm:constrLst>
              <dgm:constr type="r" for="ch" forName="Child" refType="w" fact="0.71"/>
              <dgm:constr type="t" for="ch" forName="Child" refType="h" fact="0.192"/>
              <dgm:constr type="w" for="ch" forName="Child" refType="w" fact="0.71"/>
              <dgm:constr type="h" for="ch" forName="Child" refType="h" fact="0.808"/>
              <dgm:constr type="r" for="ch" forName="Parent" refType="w" fact="0.71"/>
              <dgm:constr type="t" for="ch" forName="Parent" refType="h" fact="0"/>
              <dgm:constr type="w" for="ch" forName="Parent" refType="w" fact="0.71"/>
              <dgm:constr type="h" for="ch" forName="Parent" refType="h" fact="0.192"/>
              <dgm:constr type="r" for="ch" forName="BackAccent" refType="w"/>
              <dgm:constr type="t" for="ch" forName="BackAccent" refType="h" fact="0"/>
              <dgm:constr type="w" for="ch" forName="BackAccent" refType="w" fact="0.24"/>
              <dgm:constr type="h" for="ch" forName="BackAccent" refType="h" fact="0.192"/>
              <dgm:constr type="r" for="ch" forName="Accent" refType="w" fact="0.976"/>
              <dgm:constr type="t" for="ch" forName="Accent" refType="h" fact="0.0192"/>
              <dgm:constr type="w" for="ch" forName="Accent" refType="w" fact="0.192"/>
              <dgm:constr type="h" for="ch" forName="Accent" refType="h" fact="0.1536"/>
            </dgm:constrLst>
          </dgm:else>
        </dgm:choose>
        <dgm:layoutNode name="BackAccent" styleLbl="bgShp">
          <dgm:alg type="sp"/>
          <dgm:shape xmlns:r="http://schemas.openxmlformats.org/officeDocument/2006/relationships" type="ellipse" r:blip="">
            <dgm:adjLst/>
          </dgm:shape>
          <dgm:presOf/>
        </dgm:layoutNode>
        <dgm:layoutNode name="Accent" styleLbl="alignNode1">
          <dgm:alg type="sp"/>
          <dgm:choose name="Name7">
            <dgm:if name="Name8" axis="precedSib" ptType="node" func="cnt" op="equ" val="0">
              <dgm:choose name="Name9">
                <dgm:if name="Name10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11" axis="followSib" ptType="node" func="cnt" op="equ" val="1">
                  <dgm:shape xmlns:r="http://schemas.openxmlformats.org/officeDocument/2006/relationships" type="chord" r:blip="">
                    <dgm:adjLst>
                      <dgm:adj idx="1" val="0"/>
                      <dgm:adj idx="2" val="180"/>
                    </dgm:adjLst>
                  </dgm:shape>
                </dgm:if>
                <dgm:if name="Name12" axis="followSib" ptType="node" func="cnt" op="equ" val="2">
                  <dgm:shape xmlns:r="http://schemas.openxmlformats.org/officeDocument/2006/relationships" type="chord" r:blip="">
                    <dgm:adjLst>
                      <dgm:adj idx="1" val="19.4712"/>
                      <dgm:adj idx="2" val="160.5288"/>
                    </dgm:adjLst>
                  </dgm:shape>
                </dgm:if>
                <dgm:if name="Name13" axis="followSib" ptType="node" func="cnt" op="equ" val="3">
                  <dgm:shape xmlns:r="http://schemas.openxmlformats.org/officeDocument/2006/relationships" type="chord" r:blip="">
                    <dgm:adjLst>
                      <dgm:adj idx="1" val="30"/>
                      <dgm:adj idx="2" val="150"/>
                    </dgm:adjLst>
                  </dgm:shape>
                </dgm:if>
                <dgm:if name="Name14" axis="followSib" ptType="node" func="cnt" op="equ" val="4">
                  <dgm:shape xmlns:r="http://schemas.openxmlformats.org/officeDocument/2006/relationships" type="chord" r:blip="">
                    <dgm:adjLst>
                      <dgm:adj idx="1" val="38.8699"/>
                      <dgm:adj idx="2" val="143.1301"/>
                    </dgm:adjLst>
                  </dgm:shape>
                </dgm:if>
                <dgm:if name="Name15" axis="followSib" ptType="node" func="cnt" op="equ" val="5">
                  <dgm:shape xmlns:r="http://schemas.openxmlformats.org/officeDocument/2006/relationships" type="chord" r:blip="">
                    <dgm:adjLst>
                      <dgm:adj idx="1" val="41.8103"/>
                      <dgm:adj idx="2" val="138.1897"/>
                    </dgm:adjLst>
                  </dgm:shape>
                </dgm:if>
                <dgm:else name="Name16">
                  <dgm:shape xmlns:r="http://schemas.openxmlformats.org/officeDocument/2006/relationships" type="chord" r:blip="">
                    <dgm:adjLst>
                      <dgm:adj idx="1" val="45.5847"/>
                      <dgm:adj idx="2" val="134.4153"/>
                    </dgm:adjLst>
                  </dgm:shape>
                </dgm:else>
              </dgm:choose>
            </dgm:if>
            <dgm:if name="Name17" axis="precedSib" ptType="node" func="cnt" op="equ" val="1">
              <dgm:choose name="Name18">
                <dgm:if name="Name19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20" axis="followSib" ptType="node" func="cnt" op="equ" val="1">
                  <dgm:shape xmlns:r="http://schemas.openxmlformats.org/officeDocument/2006/relationships" type="chord" r:blip="">
                    <dgm:adjLst>
                      <dgm:adj idx="1" val="-19.4712"/>
                      <dgm:adj idx="2" val="-160.5288"/>
                    </dgm:adjLst>
                  </dgm:shape>
                </dgm:if>
                <dgm:if name="Name21" axis="followSib" ptType="node" func="cnt" op="equ" val="2">
                  <dgm:shape xmlns:r="http://schemas.openxmlformats.org/officeDocument/2006/relationships" type="chord" r:blip="">
                    <dgm:adjLst>
                      <dgm:adj idx="1" val="0"/>
                      <dgm:adj idx="2" val="180"/>
                    </dgm:adjLst>
                  </dgm:shape>
                </dgm:if>
                <dgm:if name="Name22" axis="followSib" ptType="node" func="cnt" op="equ" val="3">
                  <dgm:shape xmlns:r="http://schemas.openxmlformats.org/officeDocument/2006/relationships" type="chord" r:blip="">
                    <dgm:adjLst>
                      <dgm:adj idx="1" val="11.537"/>
                      <dgm:adj idx="2" val="168.463"/>
                    </dgm:adjLst>
                  </dgm:shape>
                </dgm:if>
                <dgm:if name="Name23" axis="followSib" ptType="node" func="cnt" op="equ" val="4">
                  <dgm:shape xmlns:r="http://schemas.openxmlformats.org/officeDocument/2006/relationships" type="chord" r:blip="">
                    <dgm:adjLst>
                      <dgm:adj idx="1" val="19.4712"/>
                      <dgm:adj idx="2" val="160.5288"/>
                    </dgm:adjLst>
                  </dgm:shape>
                </dgm:if>
                <dgm:else name="Name24">
                  <dgm:shape xmlns:r="http://schemas.openxmlformats.org/officeDocument/2006/relationships" type="chord" r:blip="">
                    <dgm:adjLst>
                      <dgm:adj idx="1" val="25.3769"/>
                      <dgm:adj idx="2" val="154.6231"/>
                    </dgm:adjLst>
                  </dgm:shape>
                </dgm:else>
              </dgm:choose>
            </dgm:if>
            <dgm:if name="Name25" axis="precedSib" ptType="node" func="cnt" op="equ" val="2">
              <dgm:choose name="Name26">
                <dgm:if name="Name27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28" axis="followSib" ptType="node" func="cnt" op="equ" val="1">
                  <dgm:shape xmlns:r="http://schemas.openxmlformats.org/officeDocument/2006/relationships" type="chord" r:blip="">
                    <dgm:adjLst>
                      <dgm:adj idx="1" val="-30"/>
                      <dgm:adj idx="2" val="-150"/>
                    </dgm:adjLst>
                  </dgm:shape>
                </dgm:if>
                <dgm:if name="Name29" axis="followSib" ptType="node" func="cnt" op="equ" val="2">
                  <dgm:shape xmlns:r="http://schemas.openxmlformats.org/officeDocument/2006/relationships" type="chord" r:blip="">
                    <dgm:adjLst>
                      <dgm:adj idx="1" val="-11.537"/>
                      <dgm:adj idx="2" val="-168.463"/>
                    </dgm:adjLst>
                  </dgm:shape>
                </dgm:if>
                <dgm:if name="Name30" axis="followSib" ptType="node" func="cnt" op="equ" val="3">
                  <dgm:shape xmlns:r="http://schemas.openxmlformats.org/officeDocument/2006/relationships" type="chord" r:blip="">
                    <dgm:adjLst>
                      <dgm:adj idx="1" val="0"/>
                      <dgm:adj idx="2" val="180"/>
                    </dgm:adjLst>
                  </dgm:shape>
                </dgm:if>
                <dgm:else name="Name31">
                  <dgm:shape xmlns:r="http://schemas.openxmlformats.org/officeDocument/2006/relationships" type="chord" r:blip="">
                    <dgm:adjLst>
                      <dgm:adj idx="1" val="8.2133"/>
                      <dgm:adj idx="2" val="171.7867"/>
                    </dgm:adjLst>
                  </dgm:shape>
                </dgm:else>
              </dgm:choose>
            </dgm:if>
            <dgm:if name="Name32" axis="precedSib" ptType="node" func="cnt" op="equ" val="3">
              <dgm:choose name="Name33">
                <dgm:if name="Name34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35" axis="followSib" ptType="node" func="cnt" op="equ" val="1">
                  <dgm:shape xmlns:r="http://schemas.openxmlformats.org/officeDocument/2006/relationships" type="chord" r:blip="">
                    <dgm:adjLst>
                      <dgm:adj idx="1" val="-38.8699"/>
                      <dgm:adj idx="2" val="-143.1301"/>
                    </dgm:adjLst>
                  </dgm:shape>
                </dgm:if>
                <dgm:if name="Name36" axis="followSib" ptType="node" func="cnt" op="equ" val="2">
                  <dgm:shape xmlns:r="http://schemas.openxmlformats.org/officeDocument/2006/relationships" type="chord" r:blip="">
                    <dgm:adjLst>
                      <dgm:adj idx="1" val="-19.4712"/>
                      <dgm:adj idx="2" val="-160.5288"/>
                    </dgm:adjLst>
                  </dgm:shape>
                </dgm:if>
                <dgm:else name="Name37">
                  <dgm:shape xmlns:r="http://schemas.openxmlformats.org/officeDocument/2006/relationships" type="chord" r:blip="">
                    <dgm:adjLst>
                      <dgm:adj idx="1" val="-8.2133"/>
                      <dgm:adj idx="2" val="-171.7867"/>
                    </dgm:adjLst>
                  </dgm:shape>
                </dgm:else>
              </dgm:choose>
            </dgm:if>
            <dgm:if name="Name38" axis="precedSib" ptType="node" func="cnt" op="equ" val="4">
              <dgm:choose name="Name39">
                <dgm:if name="Name40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41" axis="followSib" ptType="node" func="cnt" op="equ" val="1">
                  <dgm:shape xmlns:r="http://schemas.openxmlformats.org/officeDocument/2006/relationships" type="chord" r:blip="">
                    <dgm:adjLst>
                      <dgm:adj idx="1" val="-41.8103"/>
                      <dgm:adj idx="2" val="-138.1897"/>
                    </dgm:adjLst>
                  </dgm:shape>
                </dgm:if>
                <dgm:else name="Name42">
                  <dgm:shape xmlns:r="http://schemas.openxmlformats.org/officeDocument/2006/relationships" type="chord" r:blip="">
                    <dgm:adjLst>
                      <dgm:adj idx="1" val="-25.3769"/>
                      <dgm:adj idx="2" val="-154.6231"/>
                    </dgm:adjLst>
                  </dgm:shape>
                </dgm:else>
              </dgm:choose>
            </dgm:if>
            <dgm:if name="Name43" axis="precedSib" ptType="node" func="cnt" op="equ" val="5">
              <dgm:choose name="Name44">
                <dgm:if name="Name45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else name="Name46">
                  <dgm:shape xmlns:r="http://schemas.openxmlformats.org/officeDocument/2006/relationships" type="chord" r:blip="">
                    <dgm:adjLst>
                      <dgm:adj idx="1" val="-45.5847"/>
                      <dgm:adj idx="2" val="-134.4153"/>
                    </dgm:adjLst>
                  </dgm:shape>
                </dgm:else>
              </dgm:choose>
            </dgm:if>
            <dgm:else name="Name47">
              <dgm:shape xmlns:r="http://schemas.openxmlformats.org/officeDocument/2006/relationships" type="chord" r:blip="">
                <dgm:adjLst>
                  <dgm:adj idx="1" val="-90"/>
                  <dgm:adj idx="2" val="-90"/>
                </dgm:adjLst>
              </dgm:shape>
            </dgm:else>
          </dgm:choose>
          <dgm:presOf/>
        </dgm:layoutNode>
        <dgm:layoutNode name="Child" styleLbl="revTx">
          <dgm:varLst>
            <dgm:chMax val="0"/>
            <dgm:chPref val="0"/>
            <dgm:bulletEnabled val="1"/>
          </dgm:varLst>
          <dgm:choose name="Name48">
            <dgm:if name="Name49" func="var" arg="dir" op="equ" val="norm">
              <dgm:alg type="tx">
                <dgm:param type="parTxLTRAlign" val="l"/>
                <dgm:param type="parTxRTLAlign" val="l"/>
                <dgm:param type="txAnchorVert" val="t"/>
              </dgm:alg>
            </dgm:if>
            <dgm:else name="Name50">
              <dgm:alg type="tx">
                <dgm:param type="parTxLTRAlign" val="r"/>
                <dgm:param type="parTxRTLAlign" val="r"/>
                <dgm:param type="txAnchorVert" val="t"/>
              </dgm:alg>
            </dgm:else>
          </dgm:choose>
          <dgm:choose name="Name51">
            <dgm:if name="Name52" axis="ch" ptType="node" func="cnt" op="gte" val="1">
              <dgm:shape xmlns:r="http://schemas.openxmlformats.org/officeDocument/2006/relationships" type="rect" r:blip="">
                <dgm:adjLst/>
              </dgm:shape>
            </dgm:if>
            <dgm:else name="Name53">
              <dgm:shape xmlns:r="http://schemas.openxmlformats.org/officeDocument/2006/relationships" type="rect" r:blip="" hideGeom="1">
                <dgm:adjLst/>
              </dgm:shape>
            </dgm:else>
          </dgm:choose>
          <dgm:choose name="Name54">
            <dgm:if name="Name55" axis="ch" ptType="node" func="cnt" op="gte" val="1">
              <dgm:presOf axis="des" ptType="node"/>
            </dgm:if>
            <dgm:else name="Name56">
              <dgm:presOf/>
            </dgm:else>
          </dgm:choose>
          <dgm:constrLst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  <dgm:layoutNode name="Parent" styleLbl="revTx">
          <dgm:varLst>
            <dgm:chMax val="1"/>
            <dgm:chPref val="1"/>
            <dgm:bulletEnabled val="1"/>
          </dgm:varLst>
          <dgm:choose name="Name57">
            <dgm:if name="Name58" func="var" arg="dir" op="equ" val="norm">
              <dgm:alg type="tx">
                <dgm:param type="parTxLTRAlign" val="l"/>
                <dgm:param type="parTxRTLAlign" val="l"/>
                <dgm:param type="shpTxLTRAlignCh" val="l"/>
                <dgm:param type="shpTxRTLAlignCh" val="l"/>
                <dgm:param type="txAnchorVert" val="b"/>
                <dgm:param type="txAnchorVertCh" val="b"/>
              </dgm:alg>
            </dgm:if>
            <dgm:else name="Name59">
              <dgm:alg type="tx">
                <dgm:param type="parTxLTRAlign" val="r"/>
                <dgm:param type="parTxRTLAlign" val="r"/>
                <dgm:param type="shpTxLTRAlignCh" val="r"/>
                <dgm:param type="shpTxRTLAlignCh" val="r"/>
                <dgm:param type="txAnchorVert" val="b"/>
                <dgm:param type="txAnchorVertCh" val="b"/>
              </dgm:alg>
            </dgm:else>
          </dgm:choose>
          <dgm:shape xmlns:r="http://schemas.openxmlformats.org/officeDocument/2006/relationships" type="rect" r:blip="">
            <dgm:adjLst/>
          </dgm:shape>
          <dgm:presOf axis="self" ptType="node"/>
          <dgm:constrLst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8/layout/IncreasingCircleProcess">
  <dgm:title val=""/>
  <dgm:desc val=""/>
  <dgm:catLst>
    <dgm:cat type="list" pri="8300"/>
    <dgm:cat type="process" pri="4300"/>
  </dgm:catLst>
  <dgm:sampData>
    <dgm:dataModel>
      <dgm:ptLst>
        <dgm:pt modelId="0" type="doc"/>
        <dgm:pt modelId="10">
          <dgm:prSet phldr="1"/>
        </dgm:pt>
        <dgm:pt modelId="11">
          <dgm:prSet phldr="1"/>
        </dgm:pt>
        <dgm:pt modelId="20">
          <dgm:prSet phldr="1"/>
        </dgm:pt>
        <dgm:pt modelId="21">
          <dgm:prSet phldr="1"/>
        </dgm:pt>
        <dgm:pt modelId="30">
          <dgm:prSet phldr="1"/>
        </dgm:pt>
        <dgm:pt modelId="31">
          <dgm:prSet phldr="1"/>
        </dgm:pt>
      </dgm:ptLst>
      <dgm:cxnLst>
        <dgm:cxn modelId="40" srcId="0" destId="10" srcOrd="0" destOrd="0"/>
        <dgm:cxn modelId="12" srcId="10" destId="11" srcOrd="0" destOrd="0"/>
        <dgm:cxn modelId="50" srcId="0" destId="20" srcOrd="1" destOrd="0"/>
        <dgm:cxn modelId="22" srcId="20" destId="21" srcOrd="0" destOrd="0"/>
        <dgm:cxn modelId="60" srcId="0" destId="30" srcOrd="2" destOrd="0"/>
        <dgm:cxn modelId="32" srcId="30" destId="31" srcOrd="0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30" srcId="0" destId="10" srcOrd="0" destOrd="0"/>
        <dgm:cxn modelId="4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30" srcId="0" destId="10" srcOrd="0" destOrd="0"/>
        <dgm:cxn modelId="40" srcId="0" destId="20" srcOrd="1" destOrd="0"/>
      </dgm:cxnLst>
      <dgm:bg/>
      <dgm:whole/>
    </dgm:dataModel>
  </dgm:clrData>
  <dgm:layoutNode name="Name0">
    <dgm:varLst>
      <dgm:chMax val="7"/>
      <dgm:chPref val="7"/>
      <dgm:dir/>
      <dgm:animOne val="branch"/>
      <dgm:animLvl val="lvl"/>
    </dgm:varLst>
    <dgm:choose name="Name1">
      <dgm:if name="Name2" func="var" arg="dir" op="equ" val="norm">
        <dgm:alg type="lin">
          <dgm:param type="linDir" val="fromL"/>
          <dgm:param type="horzAlign" val="ctr"/>
          <dgm:param type="vertAlign" val="t"/>
        </dgm:alg>
      </dgm:if>
      <dgm:else name="Name3">
        <dgm:alg type="lin">
          <dgm:param type="linDir" val="fromR"/>
          <dgm:param type="horzAlign" val="ctr"/>
          <dgm:param type="vertAlign" val="t"/>
        </dgm:alg>
      </dgm:else>
    </dgm:choose>
    <dgm:shape xmlns:r="http://schemas.openxmlformats.org/officeDocument/2006/relationships" r:blip="">
      <dgm:adjLst/>
    </dgm:shape>
    <dgm:constrLst>
      <dgm:constr type="primFontSz" for="des" forName="Child" val="65"/>
      <dgm:constr type="primFontSz" for="des" forName="Parent" val="65"/>
      <dgm:constr type="primFontSz" for="des" forName="Child" refType="primFontSz" refFor="des" refForName="Parent" op="lte"/>
      <dgm:constr type="w" for="ch" forName="composite" refType="w"/>
      <dgm:constr type="h" for="ch" forName="composite" refType="h"/>
      <dgm:constr type="sp" refType="w" refFor="ch" refForName="composite" op="equ" fact="0.05"/>
      <dgm:constr type="w" for="ch" forName="sibTrans" refType="h" refFor="ch" refForName="composite" op="equ" fact="0.04"/>
    </dgm:constrLst>
    <dgm:forEach name="nodesForEach" axis="ch" ptType="node" cnt="7">
      <dgm:layoutNode name="composite">
        <dgm:alg type="composite">
          <dgm:param type="ar" val="0.8"/>
        </dgm:alg>
        <dgm:choose name="Name4">
          <dgm:if name="Name5" func="var" arg="dir" op="equ" val="norm">
            <dgm:constrLst>
              <dgm:constr type="l" for="ch" forName="Child" refType="w" fact="0.29"/>
              <dgm:constr type="t" for="ch" forName="Child" refType="h" fact="0.192"/>
              <dgm:constr type="w" for="ch" forName="Child" refType="w" fact="0.71"/>
              <dgm:constr type="h" for="ch" forName="Child" refType="h" fact="0.808"/>
              <dgm:constr type="l" for="ch" forName="Parent" refType="w" fact="0.29"/>
              <dgm:constr type="t" for="ch" forName="Parent" refType="h" fact="0"/>
              <dgm:constr type="w" for="ch" forName="Parent" refType="w" fact="0.71"/>
              <dgm:constr type="h" for="ch" forName="Parent" refType="h" fact="0.192"/>
              <dgm:constr type="l" for="ch" forName="BackAccent" refType="w" fact="0"/>
              <dgm:constr type="t" for="ch" forName="BackAccent" refType="h" fact="0"/>
              <dgm:constr type="w" for="ch" forName="BackAccent" refType="w" fact="0.24"/>
              <dgm:constr type="h" for="ch" forName="BackAccent" refType="h" fact="0.192"/>
              <dgm:constr type="l" for="ch" forName="Accent" refType="w" fact="0.024"/>
              <dgm:constr type="t" for="ch" forName="Accent" refType="h" fact="0.0192"/>
              <dgm:constr type="w" for="ch" forName="Accent" refType="w" fact="0.192"/>
              <dgm:constr type="h" for="ch" forName="Accent" refType="h" fact="0.1536"/>
            </dgm:constrLst>
          </dgm:if>
          <dgm:else name="Name6">
            <dgm:constrLst>
              <dgm:constr type="r" for="ch" forName="Child" refType="w" fact="0.71"/>
              <dgm:constr type="t" for="ch" forName="Child" refType="h" fact="0.192"/>
              <dgm:constr type="w" for="ch" forName="Child" refType="w" fact="0.71"/>
              <dgm:constr type="h" for="ch" forName="Child" refType="h" fact="0.808"/>
              <dgm:constr type="r" for="ch" forName="Parent" refType="w" fact="0.71"/>
              <dgm:constr type="t" for="ch" forName="Parent" refType="h" fact="0"/>
              <dgm:constr type="w" for="ch" forName="Parent" refType="w" fact="0.71"/>
              <dgm:constr type="h" for="ch" forName="Parent" refType="h" fact="0.192"/>
              <dgm:constr type="r" for="ch" forName="BackAccent" refType="w"/>
              <dgm:constr type="t" for="ch" forName="BackAccent" refType="h" fact="0"/>
              <dgm:constr type="w" for="ch" forName="BackAccent" refType="w" fact="0.24"/>
              <dgm:constr type="h" for="ch" forName="BackAccent" refType="h" fact="0.192"/>
              <dgm:constr type="r" for="ch" forName="Accent" refType="w" fact="0.976"/>
              <dgm:constr type="t" for="ch" forName="Accent" refType="h" fact="0.0192"/>
              <dgm:constr type="w" for="ch" forName="Accent" refType="w" fact="0.192"/>
              <dgm:constr type="h" for="ch" forName="Accent" refType="h" fact="0.1536"/>
            </dgm:constrLst>
          </dgm:else>
        </dgm:choose>
        <dgm:layoutNode name="BackAccent" styleLbl="bgShp">
          <dgm:alg type="sp"/>
          <dgm:shape xmlns:r="http://schemas.openxmlformats.org/officeDocument/2006/relationships" type="ellipse" r:blip="">
            <dgm:adjLst/>
          </dgm:shape>
          <dgm:presOf/>
        </dgm:layoutNode>
        <dgm:layoutNode name="Accent" styleLbl="alignNode1">
          <dgm:alg type="sp"/>
          <dgm:choose name="Name7">
            <dgm:if name="Name8" axis="precedSib" ptType="node" func="cnt" op="equ" val="0">
              <dgm:choose name="Name9">
                <dgm:if name="Name10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11" axis="followSib" ptType="node" func="cnt" op="equ" val="1">
                  <dgm:shape xmlns:r="http://schemas.openxmlformats.org/officeDocument/2006/relationships" type="chord" r:blip="">
                    <dgm:adjLst>
                      <dgm:adj idx="1" val="0"/>
                      <dgm:adj idx="2" val="180"/>
                    </dgm:adjLst>
                  </dgm:shape>
                </dgm:if>
                <dgm:if name="Name12" axis="followSib" ptType="node" func="cnt" op="equ" val="2">
                  <dgm:shape xmlns:r="http://schemas.openxmlformats.org/officeDocument/2006/relationships" type="chord" r:blip="">
                    <dgm:adjLst>
                      <dgm:adj idx="1" val="19.4712"/>
                      <dgm:adj idx="2" val="160.5288"/>
                    </dgm:adjLst>
                  </dgm:shape>
                </dgm:if>
                <dgm:if name="Name13" axis="followSib" ptType="node" func="cnt" op="equ" val="3">
                  <dgm:shape xmlns:r="http://schemas.openxmlformats.org/officeDocument/2006/relationships" type="chord" r:blip="">
                    <dgm:adjLst>
                      <dgm:adj idx="1" val="30"/>
                      <dgm:adj idx="2" val="150"/>
                    </dgm:adjLst>
                  </dgm:shape>
                </dgm:if>
                <dgm:if name="Name14" axis="followSib" ptType="node" func="cnt" op="equ" val="4">
                  <dgm:shape xmlns:r="http://schemas.openxmlformats.org/officeDocument/2006/relationships" type="chord" r:blip="">
                    <dgm:adjLst>
                      <dgm:adj idx="1" val="38.8699"/>
                      <dgm:adj idx="2" val="143.1301"/>
                    </dgm:adjLst>
                  </dgm:shape>
                </dgm:if>
                <dgm:if name="Name15" axis="followSib" ptType="node" func="cnt" op="equ" val="5">
                  <dgm:shape xmlns:r="http://schemas.openxmlformats.org/officeDocument/2006/relationships" type="chord" r:blip="">
                    <dgm:adjLst>
                      <dgm:adj idx="1" val="41.8103"/>
                      <dgm:adj idx="2" val="138.1897"/>
                    </dgm:adjLst>
                  </dgm:shape>
                </dgm:if>
                <dgm:else name="Name16">
                  <dgm:shape xmlns:r="http://schemas.openxmlformats.org/officeDocument/2006/relationships" type="chord" r:blip="">
                    <dgm:adjLst>
                      <dgm:adj idx="1" val="45.5847"/>
                      <dgm:adj idx="2" val="134.4153"/>
                    </dgm:adjLst>
                  </dgm:shape>
                </dgm:else>
              </dgm:choose>
            </dgm:if>
            <dgm:if name="Name17" axis="precedSib" ptType="node" func="cnt" op="equ" val="1">
              <dgm:choose name="Name18">
                <dgm:if name="Name19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20" axis="followSib" ptType="node" func="cnt" op="equ" val="1">
                  <dgm:shape xmlns:r="http://schemas.openxmlformats.org/officeDocument/2006/relationships" type="chord" r:blip="">
                    <dgm:adjLst>
                      <dgm:adj idx="1" val="-19.4712"/>
                      <dgm:adj idx="2" val="-160.5288"/>
                    </dgm:adjLst>
                  </dgm:shape>
                </dgm:if>
                <dgm:if name="Name21" axis="followSib" ptType="node" func="cnt" op="equ" val="2">
                  <dgm:shape xmlns:r="http://schemas.openxmlformats.org/officeDocument/2006/relationships" type="chord" r:blip="">
                    <dgm:adjLst>
                      <dgm:adj idx="1" val="0"/>
                      <dgm:adj idx="2" val="180"/>
                    </dgm:adjLst>
                  </dgm:shape>
                </dgm:if>
                <dgm:if name="Name22" axis="followSib" ptType="node" func="cnt" op="equ" val="3">
                  <dgm:shape xmlns:r="http://schemas.openxmlformats.org/officeDocument/2006/relationships" type="chord" r:blip="">
                    <dgm:adjLst>
                      <dgm:adj idx="1" val="11.537"/>
                      <dgm:adj idx="2" val="168.463"/>
                    </dgm:adjLst>
                  </dgm:shape>
                </dgm:if>
                <dgm:if name="Name23" axis="followSib" ptType="node" func="cnt" op="equ" val="4">
                  <dgm:shape xmlns:r="http://schemas.openxmlformats.org/officeDocument/2006/relationships" type="chord" r:blip="">
                    <dgm:adjLst>
                      <dgm:adj idx="1" val="19.4712"/>
                      <dgm:adj idx="2" val="160.5288"/>
                    </dgm:adjLst>
                  </dgm:shape>
                </dgm:if>
                <dgm:else name="Name24">
                  <dgm:shape xmlns:r="http://schemas.openxmlformats.org/officeDocument/2006/relationships" type="chord" r:blip="">
                    <dgm:adjLst>
                      <dgm:adj idx="1" val="25.3769"/>
                      <dgm:adj idx="2" val="154.6231"/>
                    </dgm:adjLst>
                  </dgm:shape>
                </dgm:else>
              </dgm:choose>
            </dgm:if>
            <dgm:if name="Name25" axis="precedSib" ptType="node" func="cnt" op="equ" val="2">
              <dgm:choose name="Name26">
                <dgm:if name="Name27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28" axis="followSib" ptType="node" func="cnt" op="equ" val="1">
                  <dgm:shape xmlns:r="http://schemas.openxmlformats.org/officeDocument/2006/relationships" type="chord" r:blip="">
                    <dgm:adjLst>
                      <dgm:adj idx="1" val="-30"/>
                      <dgm:adj idx="2" val="-150"/>
                    </dgm:adjLst>
                  </dgm:shape>
                </dgm:if>
                <dgm:if name="Name29" axis="followSib" ptType="node" func="cnt" op="equ" val="2">
                  <dgm:shape xmlns:r="http://schemas.openxmlformats.org/officeDocument/2006/relationships" type="chord" r:blip="">
                    <dgm:adjLst>
                      <dgm:adj idx="1" val="-11.537"/>
                      <dgm:adj idx="2" val="-168.463"/>
                    </dgm:adjLst>
                  </dgm:shape>
                </dgm:if>
                <dgm:if name="Name30" axis="followSib" ptType="node" func="cnt" op="equ" val="3">
                  <dgm:shape xmlns:r="http://schemas.openxmlformats.org/officeDocument/2006/relationships" type="chord" r:blip="">
                    <dgm:adjLst>
                      <dgm:adj idx="1" val="0"/>
                      <dgm:adj idx="2" val="180"/>
                    </dgm:adjLst>
                  </dgm:shape>
                </dgm:if>
                <dgm:else name="Name31">
                  <dgm:shape xmlns:r="http://schemas.openxmlformats.org/officeDocument/2006/relationships" type="chord" r:blip="">
                    <dgm:adjLst>
                      <dgm:adj idx="1" val="8.2133"/>
                      <dgm:adj idx="2" val="171.7867"/>
                    </dgm:adjLst>
                  </dgm:shape>
                </dgm:else>
              </dgm:choose>
            </dgm:if>
            <dgm:if name="Name32" axis="precedSib" ptType="node" func="cnt" op="equ" val="3">
              <dgm:choose name="Name33">
                <dgm:if name="Name34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35" axis="followSib" ptType="node" func="cnt" op="equ" val="1">
                  <dgm:shape xmlns:r="http://schemas.openxmlformats.org/officeDocument/2006/relationships" type="chord" r:blip="">
                    <dgm:adjLst>
                      <dgm:adj idx="1" val="-38.8699"/>
                      <dgm:adj idx="2" val="-143.1301"/>
                    </dgm:adjLst>
                  </dgm:shape>
                </dgm:if>
                <dgm:if name="Name36" axis="followSib" ptType="node" func="cnt" op="equ" val="2">
                  <dgm:shape xmlns:r="http://schemas.openxmlformats.org/officeDocument/2006/relationships" type="chord" r:blip="">
                    <dgm:adjLst>
                      <dgm:adj idx="1" val="-19.4712"/>
                      <dgm:adj idx="2" val="-160.5288"/>
                    </dgm:adjLst>
                  </dgm:shape>
                </dgm:if>
                <dgm:else name="Name37">
                  <dgm:shape xmlns:r="http://schemas.openxmlformats.org/officeDocument/2006/relationships" type="chord" r:blip="">
                    <dgm:adjLst>
                      <dgm:adj idx="1" val="-8.2133"/>
                      <dgm:adj idx="2" val="-171.7867"/>
                    </dgm:adjLst>
                  </dgm:shape>
                </dgm:else>
              </dgm:choose>
            </dgm:if>
            <dgm:if name="Name38" axis="precedSib" ptType="node" func="cnt" op="equ" val="4">
              <dgm:choose name="Name39">
                <dgm:if name="Name40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41" axis="followSib" ptType="node" func="cnt" op="equ" val="1">
                  <dgm:shape xmlns:r="http://schemas.openxmlformats.org/officeDocument/2006/relationships" type="chord" r:blip="">
                    <dgm:adjLst>
                      <dgm:adj idx="1" val="-41.8103"/>
                      <dgm:adj idx="2" val="-138.1897"/>
                    </dgm:adjLst>
                  </dgm:shape>
                </dgm:if>
                <dgm:else name="Name42">
                  <dgm:shape xmlns:r="http://schemas.openxmlformats.org/officeDocument/2006/relationships" type="chord" r:blip="">
                    <dgm:adjLst>
                      <dgm:adj idx="1" val="-25.3769"/>
                      <dgm:adj idx="2" val="-154.6231"/>
                    </dgm:adjLst>
                  </dgm:shape>
                </dgm:else>
              </dgm:choose>
            </dgm:if>
            <dgm:if name="Name43" axis="precedSib" ptType="node" func="cnt" op="equ" val="5">
              <dgm:choose name="Name44">
                <dgm:if name="Name45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else name="Name46">
                  <dgm:shape xmlns:r="http://schemas.openxmlformats.org/officeDocument/2006/relationships" type="chord" r:blip="">
                    <dgm:adjLst>
                      <dgm:adj idx="1" val="-45.5847"/>
                      <dgm:adj idx="2" val="-134.4153"/>
                    </dgm:adjLst>
                  </dgm:shape>
                </dgm:else>
              </dgm:choose>
            </dgm:if>
            <dgm:else name="Name47">
              <dgm:shape xmlns:r="http://schemas.openxmlformats.org/officeDocument/2006/relationships" type="chord" r:blip="">
                <dgm:adjLst>
                  <dgm:adj idx="1" val="-90"/>
                  <dgm:adj idx="2" val="-90"/>
                </dgm:adjLst>
              </dgm:shape>
            </dgm:else>
          </dgm:choose>
          <dgm:presOf/>
        </dgm:layoutNode>
        <dgm:layoutNode name="Child" styleLbl="revTx">
          <dgm:varLst>
            <dgm:chMax val="0"/>
            <dgm:chPref val="0"/>
            <dgm:bulletEnabled val="1"/>
          </dgm:varLst>
          <dgm:choose name="Name48">
            <dgm:if name="Name49" func="var" arg="dir" op="equ" val="norm">
              <dgm:alg type="tx">
                <dgm:param type="parTxLTRAlign" val="l"/>
                <dgm:param type="parTxRTLAlign" val="l"/>
                <dgm:param type="txAnchorVert" val="t"/>
              </dgm:alg>
            </dgm:if>
            <dgm:else name="Name50">
              <dgm:alg type="tx">
                <dgm:param type="parTxLTRAlign" val="r"/>
                <dgm:param type="parTxRTLAlign" val="r"/>
                <dgm:param type="txAnchorVert" val="t"/>
              </dgm:alg>
            </dgm:else>
          </dgm:choose>
          <dgm:choose name="Name51">
            <dgm:if name="Name52" axis="ch" ptType="node" func="cnt" op="gte" val="1">
              <dgm:shape xmlns:r="http://schemas.openxmlformats.org/officeDocument/2006/relationships" type="rect" r:blip="">
                <dgm:adjLst/>
              </dgm:shape>
            </dgm:if>
            <dgm:else name="Name53">
              <dgm:shape xmlns:r="http://schemas.openxmlformats.org/officeDocument/2006/relationships" type="rect" r:blip="" hideGeom="1">
                <dgm:adjLst/>
              </dgm:shape>
            </dgm:else>
          </dgm:choose>
          <dgm:choose name="Name54">
            <dgm:if name="Name55" axis="ch" ptType="node" func="cnt" op="gte" val="1">
              <dgm:presOf axis="des" ptType="node"/>
            </dgm:if>
            <dgm:else name="Name56">
              <dgm:presOf/>
            </dgm:else>
          </dgm:choose>
          <dgm:constrLst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  <dgm:layoutNode name="Parent" styleLbl="revTx">
          <dgm:varLst>
            <dgm:chMax val="1"/>
            <dgm:chPref val="1"/>
            <dgm:bulletEnabled val="1"/>
          </dgm:varLst>
          <dgm:choose name="Name57">
            <dgm:if name="Name58" func="var" arg="dir" op="equ" val="norm">
              <dgm:alg type="tx">
                <dgm:param type="parTxLTRAlign" val="l"/>
                <dgm:param type="parTxRTLAlign" val="l"/>
                <dgm:param type="shpTxLTRAlignCh" val="l"/>
                <dgm:param type="shpTxRTLAlignCh" val="l"/>
                <dgm:param type="txAnchorVert" val="b"/>
                <dgm:param type="txAnchorVertCh" val="b"/>
              </dgm:alg>
            </dgm:if>
            <dgm:else name="Name59">
              <dgm:alg type="tx">
                <dgm:param type="parTxLTRAlign" val="r"/>
                <dgm:param type="parTxRTLAlign" val="r"/>
                <dgm:param type="shpTxLTRAlignCh" val="r"/>
                <dgm:param type="shpTxRTLAlignCh" val="r"/>
                <dgm:param type="txAnchorVert" val="b"/>
                <dgm:param type="txAnchorVertCh" val="b"/>
              </dgm:alg>
            </dgm:else>
          </dgm:choose>
          <dgm:shape xmlns:r="http://schemas.openxmlformats.org/officeDocument/2006/relationships" type="rect" r:blip="">
            <dgm:adjLst/>
          </dgm:shape>
          <dgm:presOf axis="self" ptType="node"/>
          <dgm:constrLst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8/layout/IncreasingCircleProcess">
  <dgm:title val=""/>
  <dgm:desc val=""/>
  <dgm:catLst>
    <dgm:cat type="list" pri="8300"/>
    <dgm:cat type="process" pri="4300"/>
  </dgm:catLst>
  <dgm:sampData>
    <dgm:dataModel>
      <dgm:ptLst>
        <dgm:pt modelId="0" type="doc"/>
        <dgm:pt modelId="10">
          <dgm:prSet phldr="1"/>
        </dgm:pt>
        <dgm:pt modelId="11">
          <dgm:prSet phldr="1"/>
        </dgm:pt>
        <dgm:pt modelId="20">
          <dgm:prSet phldr="1"/>
        </dgm:pt>
        <dgm:pt modelId="21">
          <dgm:prSet phldr="1"/>
        </dgm:pt>
        <dgm:pt modelId="30">
          <dgm:prSet phldr="1"/>
        </dgm:pt>
        <dgm:pt modelId="31">
          <dgm:prSet phldr="1"/>
        </dgm:pt>
      </dgm:ptLst>
      <dgm:cxnLst>
        <dgm:cxn modelId="40" srcId="0" destId="10" srcOrd="0" destOrd="0"/>
        <dgm:cxn modelId="12" srcId="10" destId="11" srcOrd="0" destOrd="0"/>
        <dgm:cxn modelId="50" srcId="0" destId="20" srcOrd="1" destOrd="0"/>
        <dgm:cxn modelId="22" srcId="20" destId="21" srcOrd="0" destOrd="0"/>
        <dgm:cxn modelId="60" srcId="0" destId="30" srcOrd="2" destOrd="0"/>
        <dgm:cxn modelId="32" srcId="30" destId="31" srcOrd="0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30" srcId="0" destId="10" srcOrd="0" destOrd="0"/>
        <dgm:cxn modelId="4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30" srcId="0" destId="10" srcOrd="0" destOrd="0"/>
        <dgm:cxn modelId="40" srcId="0" destId="20" srcOrd="1" destOrd="0"/>
      </dgm:cxnLst>
      <dgm:bg/>
      <dgm:whole/>
    </dgm:dataModel>
  </dgm:clrData>
  <dgm:layoutNode name="Name0">
    <dgm:varLst>
      <dgm:chMax val="7"/>
      <dgm:chPref val="7"/>
      <dgm:dir/>
      <dgm:animOne val="branch"/>
      <dgm:animLvl val="lvl"/>
    </dgm:varLst>
    <dgm:choose name="Name1">
      <dgm:if name="Name2" func="var" arg="dir" op="equ" val="norm">
        <dgm:alg type="lin">
          <dgm:param type="linDir" val="fromL"/>
          <dgm:param type="horzAlign" val="ctr"/>
          <dgm:param type="vertAlign" val="t"/>
        </dgm:alg>
      </dgm:if>
      <dgm:else name="Name3">
        <dgm:alg type="lin">
          <dgm:param type="linDir" val="fromR"/>
          <dgm:param type="horzAlign" val="ctr"/>
          <dgm:param type="vertAlign" val="t"/>
        </dgm:alg>
      </dgm:else>
    </dgm:choose>
    <dgm:shape xmlns:r="http://schemas.openxmlformats.org/officeDocument/2006/relationships" r:blip="">
      <dgm:adjLst/>
    </dgm:shape>
    <dgm:constrLst>
      <dgm:constr type="primFontSz" for="des" forName="Child" val="65"/>
      <dgm:constr type="primFontSz" for="des" forName="Parent" val="65"/>
      <dgm:constr type="primFontSz" for="des" forName="Child" refType="primFontSz" refFor="des" refForName="Parent" op="lte"/>
      <dgm:constr type="w" for="ch" forName="composite" refType="w"/>
      <dgm:constr type="h" for="ch" forName="composite" refType="h"/>
      <dgm:constr type="sp" refType="w" refFor="ch" refForName="composite" op="equ" fact="0.05"/>
      <dgm:constr type="w" for="ch" forName="sibTrans" refType="h" refFor="ch" refForName="composite" op="equ" fact="0.04"/>
    </dgm:constrLst>
    <dgm:forEach name="nodesForEach" axis="ch" ptType="node" cnt="7">
      <dgm:layoutNode name="composite">
        <dgm:alg type="composite">
          <dgm:param type="ar" val="0.8"/>
        </dgm:alg>
        <dgm:choose name="Name4">
          <dgm:if name="Name5" func="var" arg="dir" op="equ" val="norm">
            <dgm:constrLst>
              <dgm:constr type="l" for="ch" forName="Child" refType="w" fact="0.29"/>
              <dgm:constr type="t" for="ch" forName="Child" refType="h" fact="0.192"/>
              <dgm:constr type="w" for="ch" forName="Child" refType="w" fact="0.71"/>
              <dgm:constr type="h" for="ch" forName="Child" refType="h" fact="0.808"/>
              <dgm:constr type="l" for="ch" forName="Parent" refType="w" fact="0.29"/>
              <dgm:constr type="t" for="ch" forName="Parent" refType="h" fact="0"/>
              <dgm:constr type="w" for="ch" forName="Parent" refType="w" fact="0.71"/>
              <dgm:constr type="h" for="ch" forName="Parent" refType="h" fact="0.192"/>
              <dgm:constr type="l" for="ch" forName="BackAccent" refType="w" fact="0"/>
              <dgm:constr type="t" for="ch" forName="BackAccent" refType="h" fact="0"/>
              <dgm:constr type="w" for="ch" forName="BackAccent" refType="w" fact="0.24"/>
              <dgm:constr type="h" for="ch" forName="BackAccent" refType="h" fact="0.192"/>
              <dgm:constr type="l" for="ch" forName="Accent" refType="w" fact="0.024"/>
              <dgm:constr type="t" for="ch" forName="Accent" refType="h" fact="0.0192"/>
              <dgm:constr type="w" for="ch" forName="Accent" refType="w" fact="0.192"/>
              <dgm:constr type="h" for="ch" forName="Accent" refType="h" fact="0.1536"/>
            </dgm:constrLst>
          </dgm:if>
          <dgm:else name="Name6">
            <dgm:constrLst>
              <dgm:constr type="r" for="ch" forName="Child" refType="w" fact="0.71"/>
              <dgm:constr type="t" for="ch" forName="Child" refType="h" fact="0.192"/>
              <dgm:constr type="w" for="ch" forName="Child" refType="w" fact="0.71"/>
              <dgm:constr type="h" for="ch" forName="Child" refType="h" fact="0.808"/>
              <dgm:constr type="r" for="ch" forName="Parent" refType="w" fact="0.71"/>
              <dgm:constr type="t" for="ch" forName="Parent" refType="h" fact="0"/>
              <dgm:constr type="w" for="ch" forName="Parent" refType="w" fact="0.71"/>
              <dgm:constr type="h" for="ch" forName="Parent" refType="h" fact="0.192"/>
              <dgm:constr type="r" for="ch" forName="BackAccent" refType="w"/>
              <dgm:constr type="t" for="ch" forName="BackAccent" refType="h" fact="0"/>
              <dgm:constr type="w" for="ch" forName="BackAccent" refType="w" fact="0.24"/>
              <dgm:constr type="h" for="ch" forName="BackAccent" refType="h" fact="0.192"/>
              <dgm:constr type="r" for="ch" forName="Accent" refType="w" fact="0.976"/>
              <dgm:constr type="t" for="ch" forName="Accent" refType="h" fact="0.0192"/>
              <dgm:constr type="w" for="ch" forName="Accent" refType="w" fact="0.192"/>
              <dgm:constr type="h" for="ch" forName="Accent" refType="h" fact="0.1536"/>
            </dgm:constrLst>
          </dgm:else>
        </dgm:choose>
        <dgm:layoutNode name="BackAccent" styleLbl="bgShp">
          <dgm:alg type="sp"/>
          <dgm:shape xmlns:r="http://schemas.openxmlformats.org/officeDocument/2006/relationships" type="ellipse" r:blip="">
            <dgm:adjLst/>
          </dgm:shape>
          <dgm:presOf/>
        </dgm:layoutNode>
        <dgm:layoutNode name="Accent" styleLbl="alignNode1">
          <dgm:alg type="sp"/>
          <dgm:choose name="Name7">
            <dgm:if name="Name8" axis="precedSib" ptType="node" func="cnt" op="equ" val="0">
              <dgm:choose name="Name9">
                <dgm:if name="Name10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11" axis="followSib" ptType="node" func="cnt" op="equ" val="1">
                  <dgm:shape xmlns:r="http://schemas.openxmlformats.org/officeDocument/2006/relationships" type="chord" r:blip="">
                    <dgm:adjLst>
                      <dgm:adj idx="1" val="0"/>
                      <dgm:adj idx="2" val="180"/>
                    </dgm:adjLst>
                  </dgm:shape>
                </dgm:if>
                <dgm:if name="Name12" axis="followSib" ptType="node" func="cnt" op="equ" val="2">
                  <dgm:shape xmlns:r="http://schemas.openxmlformats.org/officeDocument/2006/relationships" type="chord" r:blip="">
                    <dgm:adjLst>
                      <dgm:adj idx="1" val="19.4712"/>
                      <dgm:adj idx="2" val="160.5288"/>
                    </dgm:adjLst>
                  </dgm:shape>
                </dgm:if>
                <dgm:if name="Name13" axis="followSib" ptType="node" func="cnt" op="equ" val="3">
                  <dgm:shape xmlns:r="http://schemas.openxmlformats.org/officeDocument/2006/relationships" type="chord" r:blip="">
                    <dgm:adjLst>
                      <dgm:adj idx="1" val="30"/>
                      <dgm:adj idx="2" val="150"/>
                    </dgm:adjLst>
                  </dgm:shape>
                </dgm:if>
                <dgm:if name="Name14" axis="followSib" ptType="node" func="cnt" op="equ" val="4">
                  <dgm:shape xmlns:r="http://schemas.openxmlformats.org/officeDocument/2006/relationships" type="chord" r:blip="">
                    <dgm:adjLst>
                      <dgm:adj idx="1" val="38.8699"/>
                      <dgm:adj idx="2" val="143.1301"/>
                    </dgm:adjLst>
                  </dgm:shape>
                </dgm:if>
                <dgm:if name="Name15" axis="followSib" ptType="node" func="cnt" op="equ" val="5">
                  <dgm:shape xmlns:r="http://schemas.openxmlformats.org/officeDocument/2006/relationships" type="chord" r:blip="">
                    <dgm:adjLst>
                      <dgm:adj idx="1" val="41.8103"/>
                      <dgm:adj idx="2" val="138.1897"/>
                    </dgm:adjLst>
                  </dgm:shape>
                </dgm:if>
                <dgm:else name="Name16">
                  <dgm:shape xmlns:r="http://schemas.openxmlformats.org/officeDocument/2006/relationships" type="chord" r:blip="">
                    <dgm:adjLst>
                      <dgm:adj idx="1" val="45.5847"/>
                      <dgm:adj idx="2" val="134.4153"/>
                    </dgm:adjLst>
                  </dgm:shape>
                </dgm:else>
              </dgm:choose>
            </dgm:if>
            <dgm:if name="Name17" axis="precedSib" ptType="node" func="cnt" op="equ" val="1">
              <dgm:choose name="Name18">
                <dgm:if name="Name19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20" axis="followSib" ptType="node" func="cnt" op="equ" val="1">
                  <dgm:shape xmlns:r="http://schemas.openxmlformats.org/officeDocument/2006/relationships" type="chord" r:blip="">
                    <dgm:adjLst>
                      <dgm:adj idx="1" val="-19.4712"/>
                      <dgm:adj idx="2" val="-160.5288"/>
                    </dgm:adjLst>
                  </dgm:shape>
                </dgm:if>
                <dgm:if name="Name21" axis="followSib" ptType="node" func="cnt" op="equ" val="2">
                  <dgm:shape xmlns:r="http://schemas.openxmlformats.org/officeDocument/2006/relationships" type="chord" r:blip="">
                    <dgm:adjLst>
                      <dgm:adj idx="1" val="0"/>
                      <dgm:adj idx="2" val="180"/>
                    </dgm:adjLst>
                  </dgm:shape>
                </dgm:if>
                <dgm:if name="Name22" axis="followSib" ptType="node" func="cnt" op="equ" val="3">
                  <dgm:shape xmlns:r="http://schemas.openxmlformats.org/officeDocument/2006/relationships" type="chord" r:blip="">
                    <dgm:adjLst>
                      <dgm:adj idx="1" val="11.537"/>
                      <dgm:adj idx="2" val="168.463"/>
                    </dgm:adjLst>
                  </dgm:shape>
                </dgm:if>
                <dgm:if name="Name23" axis="followSib" ptType="node" func="cnt" op="equ" val="4">
                  <dgm:shape xmlns:r="http://schemas.openxmlformats.org/officeDocument/2006/relationships" type="chord" r:blip="">
                    <dgm:adjLst>
                      <dgm:adj idx="1" val="19.4712"/>
                      <dgm:adj idx="2" val="160.5288"/>
                    </dgm:adjLst>
                  </dgm:shape>
                </dgm:if>
                <dgm:else name="Name24">
                  <dgm:shape xmlns:r="http://schemas.openxmlformats.org/officeDocument/2006/relationships" type="chord" r:blip="">
                    <dgm:adjLst>
                      <dgm:adj idx="1" val="25.3769"/>
                      <dgm:adj idx="2" val="154.6231"/>
                    </dgm:adjLst>
                  </dgm:shape>
                </dgm:else>
              </dgm:choose>
            </dgm:if>
            <dgm:if name="Name25" axis="precedSib" ptType="node" func="cnt" op="equ" val="2">
              <dgm:choose name="Name26">
                <dgm:if name="Name27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28" axis="followSib" ptType="node" func="cnt" op="equ" val="1">
                  <dgm:shape xmlns:r="http://schemas.openxmlformats.org/officeDocument/2006/relationships" type="chord" r:blip="">
                    <dgm:adjLst>
                      <dgm:adj idx="1" val="-30"/>
                      <dgm:adj idx="2" val="-150"/>
                    </dgm:adjLst>
                  </dgm:shape>
                </dgm:if>
                <dgm:if name="Name29" axis="followSib" ptType="node" func="cnt" op="equ" val="2">
                  <dgm:shape xmlns:r="http://schemas.openxmlformats.org/officeDocument/2006/relationships" type="chord" r:blip="">
                    <dgm:adjLst>
                      <dgm:adj idx="1" val="-11.537"/>
                      <dgm:adj idx="2" val="-168.463"/>
                    </dgm:adjLst>
                  </dgm:shape>
                </dgm:if>
                <dgm:if name="Name30" axis="followSib" ptType="node" func="cnt" op="equ" val="3">
                  <dgm:shape xmlns:r="http://schemas.openxmlformats.org/officeDocument/2006/relationships" type="chord" r:blip="">
                    <dgm:adjLst>
                      <dgm:adj idx="1" val="0"/>
                      <dgm:adj idx="2" val="180"/>
                    </dgm:adjLst>
                  </dgm:shape>
                </dgm:if>
                <dgm:else name="Name31">
                  <dgm:shape xmlns:r="http://schemas.openxmlformats.org/officeDocument/2006/relationships" type="chord" r:blip="">
                    <dgm:adjLst>
                      <dgm:adj idx="1" val="8.2133"/>
                      <dgm:adj idx="2" val="171.7867"/>
                    </dgm:adjLst>
                  </dgm:shape>
                </dgm:else>
              </dgm:choose>
            </dgm:if>
            <dgm:if name="Name32" axis="precedSib" ptType="node" func="cnt" op="equ" val="3">
              <dgm:choose name="Name33">
                <dgm:if name="Name34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35" axis="followSib" ptType="node" func="cnt" op="equ" val="1">
                  <dgm:shape xmlns:r="http://schemas.openxmlformats.org/officeDocument/2006/relationships" type="chord" r:blip="">
                    <dgm:adjLst>
                      <dgm:adj idx="1" val="-38.8699"/>
                      <dgm:adj idx="2" val="-143.1301"/>
                    </dgm:adjLst>
                  </dgm:shape>
                </dgm:if>
                <dgm:if name="Name36" axis="followSib" ptType="node" func="cnt" op="equ" val="2">
                  <dgm:shape xmlns:r="http://schemas.openxmlformats.org/officeDocument/2006/relationships" type="chord" r:blip="">
                    <dgm:adjLst>
                      <dgm:adj idx="1" val="-19.4712"/>
                      <dgm:adj idx="2" val="-160.5288"/>
                    </dgm:adjLst>
                  </dgm:shape>
                </dgm:if>
                <dgm:else name="Name37">
                  <dgm:shape xmlns:r="http://schemas.openxmlformats.org/officeDocument/2006/relationships" type="chord" r:blip="">
                    <dgm:adjLst>
                      <dgm:adj idx="1" val="-8.2133"/>
                      <dgm:adj idx="2" val="-171.7867"/>
                    </dgm:adjLst>
                  </dgm:shape>
                </dgm:else>
              </dgm:choose>
            </dgm:if>
            <dgm:if name="Name38" axis="precedSib" ptType="node" func="cnt" op="equ" val="4">
              <dgm:choose name="Name39">
                <dgm:if name="Name40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41" axis="followSib" ptType="node" func="cnt" op="equ" val="1">
                  <dgm:shape xmlns:r="http://schemas.openxmlformats.org/officeDocument/2006/relationships" type="chord" r:blip="">
                    <dgm:adjLst>
                      <dgm:adj idx="1" val="-41.8103"/>
                      <dgm:adj idx="2" val="-138.1897"/>
                    </dgm:adjLst>
                  </dgm:shape>
                </dgm:if>
                <dgm:else name="Name42">
                  <dgm:shape xmlns:r="http://schemas.openxmlformats.org/officeDocument/2006/relationships" type="chord" r:blip="">
                    <dgm:adjLst>
                      <dgm:adj idx="1" val="-25.3769"/>
                      <dgm:adj idx="2" val="-154.6231"/>
                    </dgm:adjLst>
                  </dgm:shape>
                </dgm:else>
              </dgm:choose>
            </dgm:if>
            <dgm:if name="Name43" axis="precedSib" ptType="node" func="cnt" op="equ" val="5">
              <dgm:choose name="Name44">
                <dgm:if name="Name45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else name="Name46">
                  <dgm:shape xmlns:r="http://schemas.openxmlformats.org/officeDocument/2006/relationships" type="chord" r:blip="">
                    <dgm:adjLst>
                      <dgm:adj idx="1" val="-45.5847"/>
                      <dgm:adj idx="2" val="-134.4153"/>
                    </dgm:adjLst>
                  </dgm:shape>
                </dgm:else>
              </dgm:choose>
            </dgm:if>
            <dgm:else name="Name47">
              <dgm:shape xmlns:r="http://schemas.openxmlformats.org/officeDocument/2006/relationships" type="chord" r:blip="">
                <dgm:adjLst>
                  <dgm:adj idx="1" val="-90"/>
                  <dgm:adj idx="2" val="-90"/>
                </dgm:adjLst>
              </dgm:shape>
            </dgm:else>
          </dgm:choose>
          <dgm:presOf/>
        </dgm:layoutNode>
        <dgm:layoutNode name="Child" styleLbl="revTx">
          <dgm:varLst>
            <dgm:chMax val="0"/>
            <dgm:chPref val="0"/>
            <dgm:bulletEnabled val="1"/>
          </dgm:varLst>
          <dgm:choose name="Name48">
            <dgm:if name="Name49" func="var" arg="dir" op="equ" val="norm">
              <dgm:alg type="tx">
                <dgm:param type="parTxLTRAlign" val="l"/>
                <dgm:param type="parTxRTLAlign" val="l"/>
                <dgm:param type="txAnchorVert" val="t"/>
              </dgm:alg>
            </dgm:if>
            <dgm:else name="Name50">
              <dgm:alg type="tx">
                <dgm:param type="parTxLTRAlign" val="r"/>
                <dgm:param type="parTxRTLAlign" val="r"/>
                <dgm:param type="txAnchorVert" val="t"/>
              </dgm:alg>
            </dgm:else>
          </dgm:choose>
          <dgm:choose name="Name51">
            <dgm:if name="Name52" axis="ch" ptType="node" func="cnt" op="gte" val="1">
              <dgm:shape xmlns:r="http://schemas.openxmlformats.org/officeDocument/2006/relationships" type="rect" r:blip="">
                <dgm:adjLst/>
              </dgm:shape>
            </dgm:if>
            <dgm:else name="Name53">
              <dgm:shape xmlns:r="http://schemas.openxmlformats.org/officeDocument/2006/relationships" type="rect" r:blip="" hideGeom="1">
                <dgm:adjLst/>
              </dgm:shape>
            </dgm:else>
          </dgm:choose>
          <dgm:choose name="Name54">
            <dgm:if name="Name55" axis="ch" ptType="node" func="cnt" op="gte" val="1">
              <dgm:presOf axis="des" ptType="node"/>
            </dgm:if>
            <dgm:else name="Name56">
              <dgm:presOf/>
            </dgm:else>
          </dgm:choose>
          <dgm:constrLst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  <dgm:layoutNode name="Parent" styleLbl="revTx">
          <dgm:varLst>
            <dgm:chMax val="1"/>
            <dgm:chPref val="1"/>
            <dgm:bulletEnabled val="1"/>
          </dgm:varLst>
          <dgm:choose name="Name57">
            <dgm:if name="Name58" func="var" arg="dir" op="equ" val="norm">
              <dgm:alg type="tx">
                <dgm:param type="parTxLTRAlign" val="l"/>
                <dgm:param type="parTxRTLAlign" val="l"/>
                <dgm:param type="shpTxLTRAlignCh" val="l"/>
                <dgm:param type="shpTxRTLAlignCh" val="l"/>
                <dgm:param type="txAnchorVert" val="b"/>
                <dgm:param type="txAnchorVertCh" val="b"/>
              </dgm:alg>
            </dgm:if>
            <dgm:else name="Name59">
              <dgm:alg type="tx">
                <dgm:param type="parTxLTRAlign" val="r"/>
                <dgm:param type="parTxRTLAlign" val="r"/>
                <dgm:param type="shpTxLTRAlignCh" val="r"/>
                <dgm:param type="shpTxRTLAlignCh" val="r"/>
                <dgm:param type="txAnchorVert" val="b"/>
                <dgm:param type="txAnchorVertCh" val="b"/>
              </dgm:alg>
            </dgm:else>
          </dgm:choose>
          <dgm:shape xmlns:r="http://schemas.openxmlformats.org/officeDocument/2006/relationships" type="rect" r:blip="">
            <dgm:adjLst/>
          </dgm:shape>
          <dgm:presOf axis="self" ptType="node"/>
          <dgm:constrLst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layout5.xml><?xml version="1.0" encoding="utf-8"?>
<dgm:layoutDef xmlns:dgm="http://schemas.openxmlformats.org/drawingml/2006/diagram" xmlns:a="http://schemas.openxmlformats.org/drawingml/2006/main" uniqueId="urn:microsoft.com/office/officeart/2008/layout/IncreasingCircleProcess">
  <dgm:title val=""/>
  <dgm:desc val=""/>
  <dgm:catLst>
    <dgm:cat type="list" pri="8300"/>
    <dgm:cat type="process" pri="4300"/>
  </dgm:catLst>
  <dgm:sampData>
    <dgm:dataModel>
      <dgm:ptLst>
        <dgm:pt modelId="0" type="doc"/>
        <dgm:pt modelId="10">
          <dgm:prSet phldr="1"/>
        </dgm:pt>
        <dgm:pt modelId="11">
          <dgm:prSet phldr="1"/>
        </dgm:pt>
        <dgm:pt modelId="20">
          <dgm:prSet phldr="1"/>
        </dgm:pt>
        <dgm:pt modelId="21">
          <dgm:prSet phldr="1"/>
        </dgm:pt>
        <dgm:pt modelId="30">
          <dgm:prSet phldr="1"/>
        </dgm:pt>
        <dgm:pt modelId="31">
          <dgm:prSet phldr="1"/>
        </dgm:pt>
      </dgm:ptLst>
      <dgm:cxnLst>
        <dgm:cxn modelId="40" srcId="0" destId="10" srcOrd="0" destOrd="0"/>
        <dgm:cxn modelId="12" srcId="10" destId="11" srcOrd="0" destOrd="0"/>
        <dgm:cxn modelId="50" srcId="0" destId="20" srcOrd="1" destOrd="0"/>
        <dgm:cxn modelId="22" srcId="20" destId="21" srcOrd="0" destOrd="0"/>
        <dgm:cxn modelId="60" srcId="0" destId="30" srcOrd="2" destOrd="0"/>
        <dgm:cxn modelId="32" srcId="30" destId="31" srcOrd="0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30" srcId="0" destId="10" srcOrd="0" destOrd="0"/>
        <dgm:cxn modelId="4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30" srcId="0" destId="10" srcOrd="0" destOrd="0"/>
        <dgm:cxn modelId="40" srcId="0" destId="20" srcOrd="1" destOrd="0"/>
      </dgm:cxnLst>
      <dgm:bg/>
      <dgm:whole/>
    </dgm:dataModel>
  </dgm:clrData>
  <dgm:layoutNode name="Name0">
    <dgm:varLst>
      <dgm:chMax val="7"/>
      <dgm:chPref val="7"/>
      <dgm:dir/>
      <dgm:animOne val="branch"/>
      <dgm:animLvl val="lvl"/>
    </dgm:varLst>
    <dgm:choose name="Name1">
      <dgm:if name="Name2" func="var" arg="dir" op="equ" val="norm">
        <dgm:alg type="lin">
          <dgm:param type="linDir" val="fromL"/>
          <dgm:param type="horzAlign" val="ctr"/>
          <dgm:param type="vertAlign" val="t"/>
        </dgm:alg>
      </dgm:if>
      <dgm:else name="Name3">
        <dgm:alg type="lin">
          <dgm:param type="linDir" val="fromR"/>
          <dgm:param type="horzAlign" val="ctr"/>
          <dgm:param type="vertAlign" val="t"/>
        </dgm:alg>
      </dgm:else>
    </dgm:choose>
    <dgm:shape xmlns:r="http://schemas.openxmlformats.org/officeDocument/2006/relationships" r:blip="">
      <dgm:adjLst/>
    </dgm:shape>
    <dgm:constrLst>
      <dgm:constr type="primFontSz" for="des" forName="Child" val="65"/>
      <dgm:constr type="primFontSz" for="des" forName="Parent" val="65"/>
      <dgm:constr type="primFontSz" for="des" forName="Child" refType="primFontSz" refFor="des" refForName="Parent" op="lte"/>
      <dgm:constr type="w" for="ch" forName="composite" refType="w"/>
      <dgm:constr type="h" for="ch" forName="composite" refType="h"/>
      <dgm:constr type="sp" refType="w" refFor="ch" refForName="composite" op="equ" fact="0.05"/>
      <dgm:constr type="w" for="ch" forName="sibTrans" refType="h" refFor="ch" refForName="composite" op="equ" fact="0.04"/>
    </dgm:constrLst>
    <dgm:forEach name="nodesForEach" axis="ch" ptType="node" cnt="7">
      <dgm:layoutNode name="composite">
        <dgm:alg type="composite">
          <dgm:param type="ar" val="0.8"/>
        </dgm:alg>
        <dgm:choose name="Name4">
          <dgm:if name="Name5" func="var" arg="dir" op="equ" val="norm">
            <dgm:constrLst>
              <dgm:constr type="l" for="ch" forName="Child" refType="w" fact="0.29"/>
              <dgm:constr type="t" for="ch" forName="Child" refType="h" fact="0.192"/>
              <dgm:constr type="w" for="ch" forName="Child" refType="w" fact="0.71"/>
              <dgm:constr type="h" for="ch" forName="Child" refType="h" fact="0.808"/>
              <dgm:constr type="l" for="ch" forName="Parent" refType="w" fact="0.29"/>
              <dgm:constr type="t" for="ch" forName="Parent" refType="h" fact="0"/>
              <dgm:constr type="w" for="ch" forName="Parent" refType="w" fact="0.71"/>
              <dgm:constr type="h" for="ch" forName="Parent" refType="h" fact="0.192"/>
              <dgm:constr type="l" for="ch" forName="BackAccent" refType="w" fact="0"/>
              <dgm:constr type="t" for="ch" forName="BackAccent" refType="h" fact="0"/>
              <dgm:constr type="w" for="ch" forName="BackAccent" refType="w" fact="0.24"/>
              <dgm:constr type="h" for="ch" forName="BackAccent" refType="h" fact="0.192"/>
              <dgm:constr type="l" for="ch" forName="Accent" refType="w" fact="0.024"/>
              <dgm:constr type="t" for="ch" forName="Accent" refType="h" fact="0.0192"/>
              <dgm:constr type="w" for="ch" forName="Accent" refType="w" fact="0.192"/>
              <dgm:constr type="h" for="ch" forName="Accent" refType="h" fact="0.1536"/>
            </dgm:constrLst>
          </dgm:if>
          <dgm:else name="Name6">
            <dgm:constrLst>
              <dgm:constr type="r" for="ch" forName="Child" refType="w" fact="0.71"/>
              <dgm:constr type="t" for="ch" forName="Child" refType="h" fact="0.192"/>
              <dgm:constr type="w" for="ch" forName="Child" refType="w" fact="0.71"/>
              <dgm:constr type="h" for="ch" forName="Child" refType="h" fact="0.808"/>
              <dgm:constr type="r" for="ch" forName="Parent" refType="w" fact="0.71"/>
              <dgm:constr type="t" for="ch" forName="Parent" refType="h" fact="0"/>
              <dgm:constr type="w" for="ch" forName="Parent" refType="w" fact="0.71"/>
              <dgm:constr type="h" for="ch" forName="Parent" refType="h" fact="0.192"/>
              <dgm:constr type="r" for="ch" forName="BackAccent" refType="w"/>
              <dgm:constr type="t" for="ch" forName="BackAccent" refType="h" fact="0"/>
              <dgm:constr type="w" for="ch" forName="BackAccent" refType="w" fact="0.24"/>
              <dgm:constr type="h" for="ch" forName="BackAccent" refType="h" fact="0.192"/>
              <dgm:constr type="r" for="ch" forName="Accent" refType="w" fact="0.976"/>
              <dgm:constr type="t" for="ch" forName="Accent" refType="h" fact="0.0192"/>
              <dgm:constr type="w" for="ch" forName="Accent" refType="w" fact="0.192"/>
              <dgm:constr type="h" for="ch" forName="Accent" refType="h" fact="0.1536"/>
            </dgm:constrLst>
          </dgm:else>
        </dgm:choose>
        <dgm:layoutNode name="BackAccent" styleLbl="bgShp">
          <dgm:alg type="sp"/>
          <dgm:shape xmlns:r="http://schemas.openxmlformats.org/officeDocument/2006/relationships" type="ellipse" r:blip="">
            <dgm:adjLst/>
          </dgm:shape>
          <dgm:presOf/>
        </dgm:layoutNode>
        <dgm:layoutNode name="Accent" styleLbl="alignNode1">
          <dgm:alg type="sp"/>
          <dgm:choose name="Name7">
            <dgm:if name="Name8" axis="precedSib" ptType="node" func="cnt" op="equ" val="0">
              <dgm:choose name="Name9">
                <dgm:if name="Name10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11" axis="followSib" ptType="node" func="cnt" op="equ" val="1">
                  <dgm:shape xmlns:r="http://schemas.openxmlformats.org/officeDocument/2006/relationships" type="chord" r:blip="">
                    <dgm:adjLst>
                      <dgm:adj idx="1" val="0"/>
                      <dgm:adj idx="2" val="180"/>
                    </dgm:adjLst>
                  </dgm:shape>
                </dgm:if>
                <dgm:if name="Name12" axis="followSib" ptType="node" func="cnt" op="equ" val="2">
                  <dgm:shape xmlns:r="http://schemas.openxmlformats.org/officeDocument/2006/relationships" type="chord" r:blip="">
                    <dgm:adjLst>
                      <dgm:adj idx="1" val="19.4712"/>
                      <dgm:adj idx="2" val="160.5288"/>
                    </dgm:adjLst>
                  </dgm:shape>
                </dgm:if>
                <dgm:if name="Name13" axis="followSib" ptType="node" func="cnt" op="equ" val="3">
                  <dgm:shape xmlns:r="http://schemas.openxmlformats.org/officeDocument/2006/relationships" type="chord" r:blip="">
                    <dgm:adjLst>
                      <dgm:adj idx="1" val="30"/>
                      <dgm:adj idx="2" val="150"/>
                    </dgm:adjLst>
                  </dgm:shape>
                </dgm:if>
                <dgm:if name="Name14" axis="followSib" ptType="node" func="cnt" op="equ" val="4">
                  <dgm:shape xmlns:r="http://schemas.openxmlformats.org/officeDocument/2006/relationships" type="chord" r:blip="">
                    <dgm:adjLst>
                      <dgm:adj idx="1" val="38.8699"/>
                      <dgm:adj idx="2" val="143.1301"/>
                    </dgm:adjLst>
                  </dgm:shape>
                </dgm:if>
                <dgm:if name="Name15" axis="followSib" ptType="node" func="cnt" op="equ" val="5">
                  <dgm:shape xmlns:r="http://schemas.openxmlformats.org/officeDocument/2006/relationships" type="chord" r:blip="">
                    <dgm:adjLst>
                      <dgm:adj idx="1" val="41.8103"/>
                      <dgm:adj idx="2" val="138.1897"/>
                    </dgm:adjLst>
                  </dgm:shape>
                </dgm:if>
                <dgm:else name="Name16">
                  <dgm:shape xmlns:r="http://schemas.openxmlformats.org/officeDocument/2006/relationships" type="chord" r:blip="">
                    <dgm:adjLst>
                      <dgm:adj idx="1" val="45.5847"/>
                      <dgm:adj idx="2" val="134.4153"/>
                    </dgm:adjLst>
                  </dgm:shape>
                </dgm:else>
              </dgm:choose>
            </dgm:if>
            <dgm:if name="Name17" axis="precedSib" ptType="node" func="cnt" op="equ" val="1">
              <dgm:choose name="Name18">
                <dgm:if name="Name19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20" axis="followSib" ptType="node" func="cnt" op="equ" val="1">
                  <dgm:shape xmlns:r="http://schemas.openxmlformats.org/officeDocument/2006/relationships" type="chord" r:blip="">
                    <dgm:adjLst>
                      <dgm:adj idx="1" val="-19.4712"/>
                      <dgm:adj idx="2" val="-160.5288"/>
                    </dgm:adjLst>
                  </dgm:shape>
                </dgm:if>
                <dgm:if name="Name21" axis="followSib" ptType="node" func="cnt" op="equ" val="2">
                  <dgm:shape xmlns:r="http://schemas.openxmlformats.org/officeDocument/2006/relationships" type="chord" r:blip="">
                    <dgm:adjLst>
                      <dgm:adj idx="1" val="0"/>
                      <dgm:adj idx="2" val="180"/>
                    </dgm:adjLst>
                  </dgm:shape>
                </dgm:if>
                <dgm:if name="Name22" axis="followSib" ptType="node" func="cnt" op="equ" val="3">
                  <dgm:shape xmlns:r="http://schemas.openxmlformats.org/officeDocument/2006/relationships" type="chord" r:blip="">
                    <dgm:adjLst>
                      <dgm:adj idx="1" val="11.537"/>
                      <dgm:adj idx="2" val="168.463"/>
                    </dgm:adjLst>
                  </dgm:shape>
                </dgm:if>
                <dgm:if name="Name23" axis="followSib" ptType="node" func="cnt" op="equ" val="4">
                  <dgm:shape xmlns:r="http://schemas.openxmlformats.org/officeDocument/2006/relationships" type="chord" r:blip="">
                    <dgm:adjLst>
                      <dgm:adj idx="1" val="19.4712"/>
                      <dgm:adj idx="2" val="160.5288"/>
                    </dgm:adjLst>
                  </dgm:shape>
                </dgm:if>
                <dgm:else name="Name24">
                  <dgm:shape xmlns:r="http://schemas.openxmlformats.org/officeDocument/2006/relationships" type="chord" r:blip="">
                    <dgm:adjLst>
                      <dgm:adj idx="1" val="25.3769"/>
                      <dgm:adj idx="2" val="154.6231"/>
                    </dgm:adjLst>
                  </dgm:shape>
                </dgm:else>
              </dgm:choose>
            </dgm:if>
            <dgm:if name="Name25" axis="precedSib" ptType="node" func="cnt" op="equ" val="2">
              <dgm:choose name="Name26">
                <dgm:if name="Name27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28" axis="followSib" ptType="node" func="cnt" op="equ" val="1">
                  <dgm:shape xmlns:r="http://schemas.openxmlformats.org/officeDocument/2006/relationships" type="chord" r:blip="">
                    <dgm:adjLst>
                      <dgm:adj idx="1" val="-30"/>
                      <dgm:adj idx="2" val="-150"/>
                    </dgm:adjLst>
                  </dgm:shape>
                </dgm:if>
                <dgm:if name="Name29" axis="followSib" ptType="node" func="cnt" op="equ" val="2">
                  <dgm:shape xmlns:r="http://schemas.openxmlformats.org/officeDocument/2006/relationships" type="chord" r:blip="">
                    <dgm:adjLst>
                      <dgm:adj idx="1" val="-11.537"/>
                      <dgm:adj idx="2" val="-168.463"/>
                    </dgm:adjLst>
                  </dgm:shape>
                </dgm:if>
                <dgm:if name="Name30" axis="followSib" ptType="node" func="cnt" op="equ" val="3">
                  <dgm:shape xmlns:r="http://schemas.openxmlformats.org/officeDocument/2006/relationships" type="chord" r:blip="">
                    <dgm:adjLst>
                      <dgm:adj idx="1" val="0"/>
                      <dgm:adj idx="2" val="180"/>
                    </dgm:adjLst>
                  </dgm:shape>
                </dgm:if>
                <dgm:else name="Name31">
                  <dgm:shape xmlns:r="http://schemas.openxmlformats.org/officeDocument/2006/relationships" type="chord" r:blip="">
                    <dgm:adjLst>
                      <dgm:adj idx="1" val="8.2133"/>
                      <dgm:adj idx="2" val="171.7867"/>
                    </dgm:adjLst>
                  </dgm:shape>
                </dgm:else>
              </dgm:choose>
            </dgm:if>
            <dgm:if name="Name32" axis="precedSib" ptType="node" func="cnt" op="equ" val="3">
              <dgm:choose name="Name33">
                <dgm:if name="Name34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35" axis="followSib" ptType="node" func="cnt" op="equ" val="1">
                  <dgm:shape xmlns:r="http://schemas.openxmlformats.org/officeDocument/2006/relationships" type="chord" r:blip="">
                    <dgm:adjLst>
                      <dgm:adj idx="1" val="-38.8699"/>
                      <dgm:adj idx="2" val="-143.1301"/>
                    </dgm:adjLst>
                  </dgm:shape>
                </dgm:if>
                <dgm:if name="Name36" axis="followSib" ptType="node" func="cnt" op="equ" val="2">
                  <dgm:shape xmlns:r="http://schemas.openxmlformats.org/officeDocument/2006/relationships" type="chord" r:blip="">
                    <dgm:adjLst>
                      <dgm:adj idx="1" val="-19.4712"/>
                      <dgm:adj idx="2" val="-160.5288"/>
                    </dgm:adjLst>
                  </dgm:shape>
                </dgm:if>
                <dgm:else name="Name37">
                  <dgm:shape xmlns:r="http://schemas.openxmlformats.org/officeDocument/2006/relationships" type="chord" r:blip="">
                    <dgm:adjLst>
                      <dgm:adj idx="1" val="-8.2133"/>
                      <dgm:adj idx="2" val="-171.7867"/>
                    </dgm:adjLst>
                  </dgm:shape>
                </dgm:else>
              </dgm:choose>
            </dgm:if>
            <dgm:if name="Name38" axis="precedSib" ptType="node" func="cnt" op="equ" val="4">
              <dgm:choose name="Name39">
                <dgm:if name="Name40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41" axis="followSib" ptType="node" func="cnt" op="equ" val="1">
                  <dgm:shape xmlns:r="http://schemas.openxmlformats.org/officeDocument/2006/relationships" type="chord" r:blip="">
                    <dgm:adjLst>
                      <dgm:adj idx="1" val="-41.8103"/>
                      <dgm:adj idx="2" val="-138.1897"/>
                    </dgm:adjLst>
                  </dgm:shape>
                </dgm:if>
                <dgm:else name="Name42">
                  <dgm:shape xmlns:r="http://schemas.openxmlformats.org/officeDocument/2006/relationships" type="chord" r:blip="">
                    <dgm:adjLst>
                      <dgm:adj idx="1" val="-25.3769"/>
                      <dgm:adj idx="2" val="-154.6231"/>
                    </dgm:adjLst>
                  </dgm:shape>
                </dgm:else>
              </dgm:choose>
            </dgm:if>
            <dgm:if name="Name43" axis="precedSib" ptType="node" func="cnt" op="equ" val="5">
              <dgm:choose name="Name44">
                <dgm:if name="Name45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else name="Name46">
                  <dgm:shape xmlns:r="http://schemas.openxmlformats.org/officeDocument/2006/relationships" type="chord" r:blip="">
                    <dgm:adjLst>
                      <dgm:adj idx="1" val="-45.5847"/>
                      <dgm:adj idx="2" val="-134.4153"/>
                    </dgm:adjLst>
                  </dgm:shape>
                </dgm:else>
              </dgm:choose>
            </dgm:if>
            <dgm:else name="Name47">
              <dgm:shape xmlns:r="http://schemas.openxmlformats.org/officeDocument/2006/relationships" type="chord" r:blip="">
                <dgm:adjLst>
                  <dgm:adj idx="1" val="-90"/>
                  <dgm:adj idx="2" val="-90"/>
                </dgm:adjLst>
              </dgm:shape>
            </dgm:else>
          </dgm:choose>
          <dgm:presOf/>
        </dgm:layoutNode>
        <dgm:layoutNode name="Child" styleLbl="revTx">
          <dgm:varLst>
            <dgm:chMax val="0"/>
            <dgm:chPref val="0"/>
            <dgm:bulletEnabled val="1"/>
          </dgm:varLst>
          <dgm:choose name="Name48">
            <dgm:if name="Name49" func="var" arg="dir" op="equ" val="norm">
              <dgm:alg type="tx">
                <dgm:param type="parTxLTRAlign" val="l"/>
                <dgm:param type="parTxRTLAlign" val="l"/>
                <dgm:param type="txAnchorVert" val="t"/>
              </dgm:alg>
            </dgm:if>
            <dgm:else name="Name50">
              <dgm:alg type="tx">
                <dgm:param type="parTxLTRAlign" val="r"/>
                <dgm:param type="parTxRTLAlign" val="r"/>
                <dgm:param type="txAnchorVert" val="t"/>
              </dgm:alg>
            </dgm:else>
          </dgm:choose>
          <dgm:choose name="Name51">
            <dgm:if name="Name52" axis="ch" ptType="node" func="cnt" op="gte" val="1">
              <dgm:shape xmlns:r="http://schemas.openxmlformats.org/officeDocument/2006/relationships" type="rect" r:blip="">
                <dgm:adjLst/>
              </dgm:shape>
            </dgm:if>
            <dgm:else name="Name53">
              <dgm:shape xmlns:r="http://schemas.openxmlformats.org/officeDocument/2006/relationships" type="rect" r:blip="" hideGeom="1">
                <dgm:adjLst/>
              </dgm:shape>
            </dgm:else>
          </dgm:choose>
          <dgm:choose name="Name54">
            <dgm:if name="Name55" axis="ch" ptType="node" func="cnt" op="gte" val="1">
              <dgm:presOf axis="des" ptType="node"/>
            </dgm:if>
            <dgm:else name="Name56">
              <dgm:presOf/>
            </dgm:else>
          </dgm:choose>
          <dgm:constrLst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  <dgm:layoutNode name="Parent" styleLbl="revTx">
          <dgm:varLst>
            <dgm:chMax val="1"/>
            <dgm:chPref val="1"/>
            <dgm:bulletEnabled val="1"/>
          </dgm:varLst>
          <dgm:choose name="Name57">
            <dgm:if name="Name58" func="var" arg="dir" op="equ" val="norm">
              <dgm:alg type="tx">
                <dgm:param type="parTxLTRAlign" val="l"/>
                <dgm:param type="parTxRTLAlign" val="l"/>
                <dgm:param type="shpTxLTRAlignCh" val="l"/>
                <dgm:param type="shpTxRTLAlignCh" val="l"/>
                <dgm:param type="txAnchorVert" val="b"/>
                <dgm:param type="txAnchorVertCh" val="b"/>
              </dgm:alg>
            </dgm:if>
            <dgm:else name="Name59">
              <dgm:alg type="tx">
                <dgm:param type="parTxLTRAlign" val="r"/>
                <dgm:param type="parTxRTLAlign" val="r"/>
                <dgm:param type="shpTxLTRAlignCh" val="r"/>
                <dgm:param type="shpTxRTLAlignCh" val="r"/>
                <dgm:param type="txAnchorVert" val="b"/>
                <dgm:param type="txAnchorVertCh" val="b"/>
              </dgm:alg>
            </dgm:else>
          </dgm:choose>
          <dgm:shape xmlns:r="http://schemas.openxmlformats.org/officeDocument/2006/relationships" type="rect" r:blip="">
            <dgm:adjLst/>
          </dgm:shape>
          <dgm:presOf axis="self" ptType="node"/>
          <dgm:constrLst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layout6.xml><?xml version="1.0" encoding="utf-8"?>
<dgm:layoutDef xmlns:dgm="http://schemas.openxmlformats.org/drawingml/2006/diagram" xmlns:a="http://schemas.openxmlformats.org/drawingml/2006/main" uniqueId="urn:microsoft.com/office/officeart/2008/layout/IncreasingCircleProcess">
  <dgm:title val=""/>
  <dgm:desc val=""/>
  <dgm:catLst>
    <dgm:cat type="list" pri="8300"/>
    <dgm:cat type="process" pri="4300"/>
  </dgm:catLst>
  <dgm:sampData>
    <dgm:dataModel>
      <dgm:ptLst>
        <dgm:pt modelId="0" type="doc"/>
        <dgm:pt modelId="10">
          <dgm:prSet phldr="1"/>
        </dgm:pt>
        <dgm:pt modelId="11">
          <dgm:prSet phldr="1"/>
        </dgm:pt>
        <dgm:pt modelId="20">
          <dgm:prSet phldr="1"/>
        </dgm:pt>
        <dgm:pt modelId="21">
          <dgm:prSet phldr="1"/>
        </dgm:pt>
        <dgm:pt modelId="30">
          <dgm:prSet phldr="1"/>
        </dgm:pt>
        <dgm:pt modelId="31">
          <dgm:prSet phldr="1"/>
        </dgm:pt>
      </dgm:ptLst>
      <dgm:cxnLst>
        <dgm:cxn modelId="40" srcId="0" destId="10" srcOrd="0" destOrd="0"/>
        <dgm:cxn modelId="12" srcId="10" destId="11" srcOrd="0" destOrd="0"/>
        <dgm:cxn modelId="50" srcId="0" destId="20" srcOrd="1" destOrd="0"/>
        <dgm:cxn modelId="22" srcId="20" destId="21" srcOrd="0" destOrd="0"/>
        <dgm:cxn modelId="60" srcId="0" destId="30" srcOrd="2" destOrd="0"/>
        <dgm:cxn modelId="32" srcId="30" destId="31" srcOrd="0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30" srcId="0" destId="10" srcOrd="0" destOrd="0"/>
        <dgm:cxn modelId="4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30" srcId="0" destId="10" srcOrd="0" destOrd="0"/>
        <dgm:cxn modelId="40" srcId="0" destId="20" srcOrd="1" destOrd="0"/>
      </dgm:cxnLst>
      <dgm:bg/>
      <dgm:whole/>
    </dgm:dataModel>
  </dgm:clrData>
  <dgm:layoutNode name="Name0">
    <dgm:varLst>
      <dgm:chMax val="7"/>
      <dgm:chPref val="7"/>
      <dgm:dir/>
      <dgm:animOne val="branch"/>
      <dgm:animLvl val="lvl"/>
    </dgm:varLst>
    <dgm:choose name="Name1">
      <dgm:if name="Name2" func="var" arg="dir" op="equ" val="norm">
        <dgm:alg type="lin">
          <dgm:param type="linDir" val="fromL"/>
          <dgm:param type="horzAlign" val="ctr"/>
          <dgm:param type="vertAlign" val="t"/>
        </dgm:alg>
      </dgm:if>
      <dgm:else name="Name3">
        <dgm:alg type="lin">
          <dgm:param type="linDir" val="fromR"/>
          <dgm:param type="horzAlign" val="ctr"/>
          <dgm:param type="vertAlign" val="t"/>
        </dgm:alg>
      </dgm:else>
    </dgm:choose>
    <dgm:shape xmlns:r="http://schemas.openxmlformats.org/officeDocument/2006/relationships" r:blip="">
      <dgm:adjLst/>
    </dgm:shape>
    <dgm:constrLst>
      <dgm:constr type="primFontSz" for="des" forName="Child" val="65"/>
      <dgm:constr type="primFontSz" for="des" forName="Parent" val="65"/>
      <dgm:constr type="primFontSz" for="des" forName="Child" refType="primFontSz" refFor="des" refForName="Parent" op="lte"/>
      <dgm:constr type="w" for="ch" forName="composite" refType="w"/>
      <dgm:constr type="h" for="ch" forName="composite" refType="h"/>
      <dgm:constr type="sp" refType="w" refFor="ch" refForName="composite" op="equ" fact="0.05"/>
      <dgm:constr type="w" for="ch" forName="sibTrans" refType="h" refFor="ch" refForName="composite" op="equ" fact="0.04"/>
    </dgm:constrLst>
    <dgm:forEach name="nodesForEach" axis="ch" ptType="node" cnt="7">
      <dgm:layoutNode name="composite">
        <dgm:alg type="composite">
          <dgm:param type="ar" val="0.8"/>
        </dgm:alg>
        <dgm:choose name="Name4">
          <dgm:if name="Name5" func="var" arg="dir" op="equ" val="norm">
            <dgm:constrLst>
              <dgm:constr type="l" for="ch" forName="Child" refType="w" fact="0.29"/>
              <dgm:constr type="t" for="ch" forName="Child" refType="h" fact="0.192"/>
              <dgm:constr type="w" for="ch" forName="Child" refType="w" fact="0.71"/>
              <dgm:constr type="h" for="ch" forName="Child" refType="h" fact="0.808"/>
              <dgm:constr type="l" for="ch" forName="Parent" refType="w" fact="0.29"/>
              <dgm:constr type="t" for="ch" forName="Parent" refType="h" fact="0"/>
              <dgm:constr type="w" for="ch" forName="Parent" refType="w" fact="0.71"/>
              <dgm:constr type="h" for="ch" forName="Parent" refType="h" fact="0.192"/>
              <dgm:constr type="l" for="ch" forName="BackAccent" refType="w" fact="0"/>
              <dgm:constr type="t" for="ch" forName="BackAccent" refType="h" fact="0"/>
              <dgm:constr type="w" for="ch" forName="BackAccent" refType="w" fact="0.24"/>
              <dgm:constr type="h" for="ch" forName="BackAccent" refType="h" fact="0.192"/>
              <dgm:constr type="l" for="ch" forName="Accent" refType="w" fact="0.024"/>
              <dgm:constr type="t" for="ch" forName="Accent" refType="h" fact="0.0192"/>
              <dgm:constr type="w" for="ch" forName="Accent" refType="w" fact="0.192"/>
              <dgm:constr type="h" for="ch" forName="Accent" refType="h" fact="0.1536"/>
            </dgm:constrLst>
          </dgm:if>
          <dgm:else name="Name6">
            <dgm:constrLst>
              <dgm:constr type="r" for="ch" forName="Child" refType="w" fact="0.71"/>
              <dgm:constr type="t" for="ch" forName="Child" refType="h" fact="0.192"/>
              <dgm:constr type="w" for="ch" forName="Child" refType="w" fact="0.71"/>
              <dgm:constr type="h" for="ch" forName="Child" refType="h" fact="0.808"/>
              <dgm:constr type="r" for="ch" forName="Parent" refType="w" fact="0.71"/>
              <dgm:constr type="t" for="ch" forName="Parent" refType="h" fact="0"/>
              <dgm:constr type="w" for="ch" forName="Parent" refType="w" fact="0.71"/>
              <dgm:constr type="h" for="ch" forName="Parent" refType="h" fact="0.192"/>
              <dgm:constr type="r" for="ch" forName="BackAccent" refType="w"/>
              <dgm:constr type="t" for="ch" forName="BackAccent" refType="h" fact="0"/>
              <dgm:constr type="w" for="ch" forName="BackAccent" refType="w" fact="0.24"/>
              <dgm:constr type="h" for="ch" forName="BackAccent" refType="h" fact="0.192"/>
              <dgm:constr type="r" for="ch" forName="Accent" refType="w" fact="0.976"/>
              <dgm:constr type="t" for="ch" forName="Accent" refType="h" fact="0.0192"/>
              <dgm:constr type="w" for="ch" forName="Accent" refType="w" fact="0.192"/>
              <dgm:constr type="h" for="ch" forName="Accent" refType="h" fact="0.1536"/>
            </dgm:constrLst>
          </dgm:else>
        </dgm:choose>
        <dgm:layoutNode name="BackAccent" styleLbl="bgShp">
          <dgm:alg type="sp"/>
          <dgm:shape xmlns:r="http://schemas.openxmlformats.org/officeDocument/2006/relationships" type="ellipse" r:blip="">
            <dgm:adjLst/>
          </dgm:shape>
          <dgm:presOf/>
        </dgm:layoutNode>
        <dgm:layoutNode name="Accent" styleLbl="alignNode1">
          <dgm:alg type="sp"/>
          <dgm:choose name="Name7">
            <dgm:if name="Name8" axis="precedSib" ptType="node" func="cnt" op="equ" val="0">
              <dgm:choose name="Name9">
                <dgm:if name="Name10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11" axis="followSib" ptType="node" func="cnt" op="equ" val="1">
                  <dgm:shape xmlns:r="http://schemas.openxmlformats.org/officeDocument/2006/relationships" type="chord" r:blip="">
                    <dgm:adjLst>
                      <dgm:adj idx="1" val="0"/>
                      <dgm:adj idx="2" val="180"/>
                    </dgm:adjLst>
                  </dgm:shape>
                </dgm:if>
                <dgm:if name="Name12" axis="followSib" ptType="node" func="cnt" op="equ" val="2">
                  <dgm:shape xmlns:r="http://schemas.openxmlformats.org/officeDocument/2006/relationships" type="chord" r:blip="">
                    <dgm:adjLst>
                      <dgm:adj idx="1" val="19.4712"/>
                      <dgm:adj idx="2" val="160.5288"/>
                    </dgm:adjLst>
                  </dgm:shape>
                </dgm:if>
                <dgm:if name="Name13" axis="followSib" ptType="node" func="cnt" op="equ" val="3">
                  <dgm:shape xmlns:r="http://schemas.openxmlformats.org/officeDocument/2006/relationships" type="chord" r:blip="">
                    <dgm:adjLst>
                      <dgm:adj idx="1" val="30"/>
                      <dgm:adj idx="2" val="150"/>
                    </dgm:adjLst>
                  </dgm:shape>
                </dgm:if>
                <dgm:if name="Name14" axis="followSib" ptType="node" func="cnt" op="equ" val="4">
                  <dgm:shape xmlns:r="http://schemas.openxmlformats.org/officeDocument/2006/relationships" type="chord" r:blip="">
                    <dgm:adjLst>
                      <dgm:adj idx="1" val="38.8699"/>
                      <dgm:adj idx="2" val="143.1301"/>
                    </dgm:adjLst>
                  </dgm:shape>
                </dgm:if>
                <dgm:if name="Name15" axis="followSib" ptType="node" func="cnt" op="equ" val="5">
                  <dgm:shape xmlns:r="http://schemas.openxmlformats.org/officeDocument/2006/relationships" type="chord" r:blip="">
                    <dgm:adjLst>
                      <dgm:adj idx="1" val="41.8103"/>
                      <dgm:adj idx="2" val="138.1897"/>
                    </dgm:adjLst>
                  </dgm:shape>
                </dgm:if>
                <dgm:else name="Name16">
                  <dgm:shape xmlns:r="http://schemas.openxmlformats.org/officeDocument/2006/relationships" type="chord" r:blip="">
                    <dgm:adjLst>
                      <dgm:adj idx="1" val="45.5847"/>
                      <dgm:adj idx="2" val="134.4153"/>
                    </dgm:adjLst>
                  </dgm:shape>
                </dgm:else>
              </dgm:choose>
            </dgm:if>
            <dgm:if name="Name17" axis="precedSib" ptType="node" func="cnt" op="equ" val="1">
              <dgm:choose name="Name18">
                <dgm:if name="Name19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20" axis="followSib" ptType="node" func="cnt" op="equ" val="1">
                  <dgm:shape xmlns:r="http://schemas.openxmlformats.org/officeDocument/2006/relationships" type="chord" r:blip="">
                    <dgm:adjLst>
                      <dgm:adj idx="1" val="-19.4712"/>
                      <dgm:adj idx="2" val="-160.5288"/>
                    </dgm:adjLst>
                  </dgm:shape>
                </dgm:if>
                <dgm:if name="Name21" axis="followSib" ptType="node" func="cnt" op="equ" val="2">
                  <dgm:shape xmlns:r="http://schemas.openxmlformats.org/officeDocument/2006/relationships" type="chord" r:blip="">
                    <dgm:adjLst>
                      <dgm:adj idx="1" val="0"/>
                      <dgm:adj idx="2" val="180"/>
                    </dgm:adjLst>
                  </dgm:shape>
                </dgm:if>
                <dgm:if name="Name22" axis="followSib" ptType="node" func="cnt" op="equ" val="3">
                  <dgm:shape xmlns:r="http://schemas.openxmlformats.org/officeDocument/2006/relationships" type="chord" r:blip="">
                    <dgm:adjLst>
                      <dgm:adj idx="1" val="11.537"/>
                      <dgm:adj idx="2" val="168.463"/>
                    </dgm:adjLst>
                  </dgm:shape>
                </dgm:if>
                <dgm:if name="Name23" axis="followSib" ptType="node" func="cnt" op="equ" val="4">
                  <dgm:shape xmlns:r="http://schemas.openxmlformats.org/officeDocument/2006/relationships" type="chord" r:blip="">
                    <dgm:adjLst>
                      <dgm:adj idx="1" val="19.4712"/>
                      <dgm:adj idx="2" val="160.5288"/>
                    </dgm:adjLst>
                  </dgm:shape>
                </dgm:if>
                <dgm:else name="Name24">
                  <dgm:shape xmlns:r="http://schemas.openxmlformats.org/officeDocument/2006/relationships" type="chord" r:blip="">
                    <dgm:adjLst>
                      <dgm:adj idx="1" val="25.3769"/>
                      <dgm:adj idx="2" val="154.6231"/>
                    </dgm:adjLst>
                  </dgm:shape>
                </dgm:else>
              </dgm:choose>
            </dgm:if>
            <dgm:if name="Name25" axis="precedSib" ptType="node" func="cnt" op="equ" val="2">
              <dgm:choose name="Name26">
                <dgm:if name="Name27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28" axis="followSib" ptType="node" func="cnt" op="equ" val="1">
                  <dgm:shape xmlns:r="http://schemas.openxmlformats.org/officeDocument/2006/relationships" type="chord" r:blip="">
                    <dgm:adjLst>
                      <dgm:adj idx="1" val="-30"/>
                      <dgm:adj idx="2" val="-150"/>
                    </dgm:adjLst>
                  </dgm:shape>
                </dgm:if>
                <dgm:if name="Name29" axis="followSib" ptType="node" func="cnt" op="equ" val="2">
                  <dgm:shape xmlns:r="http://schemas.openxmlformats.org/officeDocument/2006/relationships" type="chord" r:blip="">
                    <dgm:adjLst>
                      <dgm:adj idx="1" val="-11.537"/>
                      <dgm:adj idx="2" val="-168.463"/>
                    </dgm:adjLst>
                  </dgm:shape>
                </dgm:if>
                <dgm:if name="Name30" axis="followSib" ptType="node" func="cnt" op="equ" val="3">
                  <dgm:shape xmlns:r="http://schemas.openxmlformats.org/officeDocument/2006/relationships" type="chord" r:blip="">
                    <dgm:adjLst>
                      <dgm:adj idx="1" val="0"/>
                      <dgm:adj idx="2" val="180"/>
                    </dgm:adjLst>
                  </dgm:shape>
                </dgm:if>
                <dgm:else name="Name31">
                  <dgm:shape xmlns:r="http://schemas.openxmlformats.org/officeDocument/2006/relationships" type="chord" r:blip="">
                    <dgm:adjLst>
                      <dgm:adj idx="1" val="8.2133"/>
                      <dgm:adj idx="2" val="171.7867"/>
                    </dgm:adjLst>
                  </dgm:shape>
                </dgm:else>
              </dgm:choose>
            </dgm:if>
            <dgm:if name="Name32" axis="precedSib" ptType="node" func="cnt" op="equ" val="3">
              <dgm:choose name="Name33">
                <dgm:if name="Name34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35" axis="followSib" ptType="node" func="cnt" op="equ" val="1">
                  <dgm:shape xmlns:r="http://schemas.openxmlformats.org/officeDocument/2006/relationships" type="chord" r:blip="">
                    <dgm:adjLst>
                      <dgm:adj idx="1" val="-38.8699"/>
                      <dgm:adj idx="2" val="-143.1301"/>
                    </dgm:adjLst>
                  </dgm:shape>
                </dgm:if>
                <dgm:if name="Name36" axis="followSib" ptType="node" func="cnt" op="equ" val="2">
                  <dgm:shape xmlns:r="http://schemas.openxmlformats.org/officeDocument/2006/relationships" type="chord" r:blip="">
                    <dgm:adjLst>
                      <dgm:adj idx="1" val="-19.4712"/>
                      <dgm:adj idx="2" val="-160.5288"/>
                    </dgm:adjLst>
                  </dgm:shape>
                </dgm:if>
                <dgm:else name="Name37">
                  <dgm:shape xmlns:r="http://schemas.openxmlformats.org/officeDocument/2006/relationships" type="chord" r:blip="">
                    <dgm:adjLst>
                      <dgm:adj idx="1" val="-8.2133"/>
                      <dgm:adj idx="2" val="-171.7867"/>
                    </dgm:adjLst>
                  </dgm:shape>
                </dgm:else>
              </dgm:choose>
            </dgm:if>
            <dgm:if name="Name38" axis="precedSib" ptType="node" func="cnt" op="equ" val="4">
              <dgm:choose name="Name39">
                <dgm:if name="Name40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41" axis="followSib" ptType="node" func="cnt" op="equ" val="1">
                  <dgm:shape xmlns:r="http://schemas.openxmlformats.org/officeDocument/2006/relationships" type="chord" r:blip="">
                    <dgm:adjLst>
                      <dgm:adj idx="1" val="-41.8103"/>
                      <dgm:adj idx="2" val="-138.1897"/>
                    </dgm:adjLst>
                  </dgm:shape>
                </dgm:if>
                <dgm:else name="Name42">
                  <dgm:shape xmlns:r="http://schemas.openxmlformats.org/officeDocument/2006/relationships" type="chord" r:blip="">
                    <dgm:adjLst>
                      <dgm:adj idx="1" val="-25.3769"/>
                      <dgm:adj idx="2" val="-154.6231"/>
                    </dgm:adjLst>
                  </dgm:shape>
                </dgm:else>
              </dgm:choose>
            </dgm:if>
            <dgm:if name="Name43" axis="precedSib" ptType="node" func="cnt" op="equ" val="5">
              <dgm:choose name="Name44">
                <dgm:if name="Name45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else name="Name46">
                  <dgm:shape xmlns:r="http://schemas.openxmlformats.org/officeDocument/2006/relationships" type="chord" r:blip="">
                    <dgm:adjLst>
                      <dgm:adj idx="1" val="-45.5847"/>
                      <dgm:adj idx="2" val="-134.4153"/>
                    </dgm:adjLst>
                  </dgm:shape>
                </dgm:else>
              </dgm:choose>
            </dgm:if>
            <dgm:else name="Name47">
              <dgm:shape xmlns:r="http://schemas.openxmlformats.org/officeDocument/2006/relationships" type="chord" r:blip="">
                <dgm:adjLst>
                  <dgm:adj idx="1" val="-90"/>
                  <dgm:adj idx="2" val="-90"/>
                </dgm:adjLst>
              </dgm:shape>
            </dgm:else>
          </dgm:choose>
          <dgm:presOf/>
        </dgm:layoutNode>
        <dgm:layoutNode name="Child" styleLbl="revTx">
          <dgm:varLst>
            <dgm:chMax val="0"/>
            <dgm:chPref val="0"/>
            <dgm:bulletEnabled val="1"/>
          </dgm:varLst>
          <dgm:choose name="Name48">
            <dgm:if name="Name49" func="var" arg="dir" op="equ" val="norm">
              <dgm:alg type="tx">
                <dgm:param type="parTxLTRAlign" val="l"/>
                <dgm:param type="parTxRTLAlign" val="l"/>
                <dgm:param type="txAnchorVert" val="t"/>
              </dgm:alg>
            </dgm:if>
            <dgm:else name="Name50">
              <dgm:alg type="tx">
                <dgm:param type="parTxLTRAlign" val="r"/>
                <dgm:param type="parTxRTLAlign" val="r"/>
                <dgm:param type="txAnchorVert" val="t"/>
              </dgm:alg>
            </dgm:else>
          </dgm:choose>
          <dgm:choose name="Name51">
            <dgm:if name="Name52" axis="ch" ptType="node" func="cnt" op="gte" val="1">
              <dgm:shape xmlns:r="http://schemas.openxmlformats.org/officeDocument/2006/relationships" type="rect" r:blip="">
                <dgm:adjLst/>
              </dgm:shape>
            </dgm:if>
            <dgm:else name="Name53">
              <dgm:shape xmlns:r="http://schemas.openxmlformats.org/officeDocument/2006/relationships" type="rect" r:blip="" hideGeom="1">
                <dgm:adjLst/>
              </dgm:shape>
            </dgm:else>
          </dgm:choose>
          <dgm:choose name="Name54">
            <dgm:if name="Name55" axis="ch" ptType="node" func="cnt" op="gte" val="1">
              <dgm:presOf axis="des" ptType="node"/>
            </dgm:if>
            <dgm:else name="Name56">
              <dgm:presOf/>
            </dgm:else>
          </dgm:choose>
          <dgm:constrLst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  <dgm:layoutNode name="Parent" styleLbl="revTx">
          <dgm:varLst>
            <dgm:chMax val="1"/>
            <dgm:chPref val="1"/>
            <dgm:bulletEnabled val="1"/>
          </dgm:varLst>
          <dgm:choose name="Name57">
            <dgm:if name="Name58" func="var" arg="dir" op="equ" val="norm">
              <dgm:alg type="tx">
                <dgm:param type="parTxLTRAlign" val="l"/>
                <dgm:param type="parTxRTLAlign" val="l"/>
                <dgm:param type="shpTxLTRAlignCh" val="l"/>
                <dgm:param type="shpTxRTLAlignCh" val="l"/>
                <dgm:param type="txAnchorVert" val="b"/>
                <dgm:param type="txAnchorVertCh" val="b"/>
              </dgm:alg>
            </dgm:if>
            <dgm:else name="Name59">
              <dgm:alg type="tx">
                <dgm:param type="parTxLTRAlign" val="r"/>
                <dgm:param type="parTxRTLAlign" val="r"/>
                <dgm:param type="shpTxLTRAlignCh" val="r"/>
                <dgm:param type="shpTxRTLAlignCh" val="r"/>
                <dgm:param type="txAnchorVert" val="b"/>
                <dgm:param type="txAnchorVertCh" val="b"/>
              </dgm:alg>
            </dgm:else>
          </dgm:choose>
          <dgm:shape xmlns:r="http://schemas.openxmlformats.org/officeDocument/2006/relationships" type="rect" r:blip="">
            <dgm:adjLst/>
          </dgm:shape>
          <dgm:presOf axis="self" ptType="node"/>
          <dgm:constrLst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5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6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2.xml"/><Relationship Id="rId2" Type="http://schemas.openxmlformats.org/officeDocument/2006/relationships/diagramLayout" Target="../diagrams/layout2.xml"/><Relationship Id="rId1" Type="http://schemas.openxmlformats.org/officeDocument/2006/relationships/diagramData" Target="../diagrams/data2.xml"/><Relationship Id="rId5" Type="http://schemas.microsoft.com/office/2007/relationships/diagramDrawing" Target="../diagrams/drawing2.xml"/><Relationship Id="rId4" Type="http://schemas.openxmlformats.org/officeDocument/2006/relationships/diagramColors" Target="../diagrams/colors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3.xml"/><Relationship Id="rId2" Type="http://schemas.openxmlformats.org/officeDocument/2006/relationships/diagramLayout" Target="../diagrams/layout3.xml"/><Relationship Id="rId1" Type="http://schemas.openxmlformats.org/officeDocument/2006/relationships/diagramData" Target="../diagrams/data3.xml"/><Relationship Id="rId5" Type="http://schemas.microsoft.com/office/2007/relationships/diagramDrawing" Target="../diagrams/drawing3.xml"/><Relationship Id="rId4" Type="http://schemas.openxmlformats.org/officeDocument/2006/relationships/diagramColors" Target="../diagrams/colors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4.xml"/><Relationship Id="rId2" Type="http://schemas.openxmlformats.org/officeDocument/2006/relationships/diagramLayout" Target="../diagrams/layout4.xml"/><Relationship Id="rId1" Type="http://schemas.openxmlformats.org/officeDocument/2006/relationships/diagramData" Target="../diagrams/data4.xml"/><Relationship Id="rId5" Type="http://schemas.microsoft.com/office/2007/relationships/diagramDrawing" Target="../diagrams/drawing4.xml"/><Relationship Id="rId4" Type="http://schemas.openxmlformats.org/officeDocument/2006/relationships/diagramColors" Target="../diagrams/colors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5.xml"/><Relationship Id="rId2" Type="http://schemas.openxmlformats.org/officeDocument/2006/relationships/diagramLayout" Target="../diagrams/layout5.xml"/><Relationship Id="rId1" Type="http://schemas.openxmlformats.org/officeDocument/2006/relationships/diagramData" Target="../diagrams/data5.xml"/><Relationship Id="rId5" Type="http://schemas.microsoft.com/office/2007/relationships/diagramDrawing" Target="../diagrams/drawing5.xml"/><Relationship Id="rId4" Type="http://schemas.openxmlformats.org/officeDocument/2006/relationships/diagramColors" Target="../diagrams/colors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6.xml"/><Relationship Id="rId2" Type="http://schemas.openxmlformats.org/officeDocument/2006/relationships/diagramLayout" Target="../diagrams/layout6.xml"/><Relationship Id="rId1" Type="http://schemas.openxmlformats.org/officeDocument/2006/relationships/diagramData" Target="../diagrams/data6.xml"/><Relationship Id="rId5" Type="http://schemas.microsoft.com/office/2007/relationships/diagramDrawing" Target="../diagrams/drawing6.xml"/><Relationship Id="rId4" Type="http://schemas.openxmlformats.org/officeDocument/2006/relationships/diagramColors" Target="../diagrams/colors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23</xdr:col>
      <xdr:colOff>444500</xdr:colOff>
      <xdr:row>54</xdr:row>
      <xdr:rowOff>152400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25400</xdr:colOff>
      <xdr:row>1</xdr:row>
      <xdr:rowOff>63500</xdr:rowOff>
    </xdr:from>
    <xdr:to>
      <xdr:col>22</xdr:col>
      <xdr:colOff>812800</xdr:colOff>
      <xdr:row>54</xdr:row>
      <xdr:rowOff>152400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25400</xdr:rowOff>
    </xdr:from>
    <xdr:to>
      <xdr:col>23</xdr:col>
      <xdr:colOff>571500</xdr:colOff>
      <xdr:row>54</xdr:row>
      <xdr:rowOff>25400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23</xdr:col>
      <xdr:colOff>444500</xdr:colOff>
      <xdr:row>54</xdr:row>
      <xdr:rowOff>152400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832EF7D-CB3D-4E35-B100-95116FB274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73025</xdr:colOff>
      <xdr:row>1</xdr:row>
      <xdr:rowOff>158750</xdr:rowOff>
    </xdr:from>
    <xdr:to>
      <xdr:col>23</xdr:col>
      <xdr:colOff>50800</xdr:colOff>
      <xdr:row>55</xdr:row>
      <xdr:rowOff>57150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3F66A78-2480-4E34-8555-BE2D4B3BA4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25400</xdr:rowOff>
    </xdr:from>
    <xdr:to>
      <xdr:col>23</xdr:col>
      <xdr:colOff>571500</xdr:colOff>
      <xdr:row>54</xdr:row>
      <xdr:rowOff>25400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69CFE81-053A-4409-80D9-395CB4F50E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P55"/>
  <sheetViews>
    <sheetView zoomScaleNormal="100" workbookViewId="0">
      <selection activeCell="E51" sqref="E51"/>
    </sheetView>
  </sheetViews>
  <sheetFormatPr defaultColWidth="11.42578125" defaultRowHeight="15" x14ac:dyDescent="0.25"/>
  <cols>
    <col min="1" max="1" width="13.28515625" customWidth="1"/>
    <col min="2" max="2" width="15.5703125" customWidth="1"/>
    <col min="3" max="3" width="17.28515625" customWidth="1"/>
    <col min="4" max="4" width="17.140625" customWidth="1"/>
    <col min="5" max="5" width="19.140625" customWidth="1"/>
    <col min="6" max="6" width="18.42578125" customWidth="1"/>
    <col min="7" max="7" width="15.140625" customWidth="1"/>
    <col min="8" max="8" width="15.5703125" customWidth="1"/>
    <col min="9" max="9" width="16.42578125" customWidth="1"/>
    <col min="10" max="10" width="14.140625" customWidth="1"/>
    <col min="11" max="11" width="13.28515625" customWidth="1"/>
    <col min="12" max="12" width="14.85546875" customWidth="1"/>
    <col min="13" max="13" width="15" customWidth="1"/>
    <col min="14" max="14" width="15.140625" customWidth="1"/>
    <col min="15" max="15" width="14.5703125" customWidth="1"/>
  </cols>
  <sheetData>
    <row r="1" spans="1:16" ht="33.950000000000003" customHeight="1" thickBot="1" x14ac:dyDescent="0.55000000000000004">
      <c r="A1" s="310"/>
      <c r="B1" s="547" t="s">
        <v>76</v>
      </c>
      <c r="C1" s="548"/>
      <c r="D1" s="548"/>
      <c r="E1" s="549"/>
      <c r="F1" s="435" t="s">
        <v>75</v>
      </c>
      <c r="G1" s="310"/>
      <c r="H1" s="310"/>
      <c r="I1" s="310"/>
      <c r="J1" s="310"/>
      <c r="K1" s="310"/>
      <c r="L1" s="436"/>
      <c r="M1" s="436"/>
      <c r="N1" s="436"/>
      <c r="O1" s="436"/>
      <c r="P1" s="310"/>
    </row>
    <row r="2" spans="1:16" ht="32.1" customHeight="1" x14ac:dyDescent="0.4">
      <c r="A2" s="473" t="s">
        <v>55</v>
      </c>
      <c r="B2" s="312"/>
      <c r="C2" s="312"/>
      <c r="D2" s="310"/>
      <c r="E2" s="412"/>
      <c r="F2" s="413"/>
      <c r="G2" s="439"/>
      <c r="H2" s="310"/>
      <c r="I2" s="310"/>
      <c r="J2" s="310"/>
      <c r="K2" s="310"/>
      <c r="L2" s="414"/>
      <c r="M2" s="414"/>
      <c r="N2" s="414"/>
      <c r="O2" s="414"/>
      <c r="P2" s="310"/>
    </row>
    <row r="3" spans="1:16" ht="18.75" customHeight="1" thickBot="1" x14ac:dyDescent="0.3">
      <c r="A3" s="474" t="s">
        <v>56</v>
      </c>
      <c r="B3" s="310"/>
      <c r="C3" s="310"/>
      <c r="D3" s="310"/>
      <c r="E3" s="412"/>
      <c r="F3" s="413"/>
      <c r="G3" s="310"/>
      <c r="H3" s="310"/>
      <c r="I3" s="310"/>
      <c r="J3" s="310"/>
      <c r="K3" s="310"/>
      <c r="L3" s="310"/>
      <c r="M3" s="310"/>
      <c r="N3" s="310"/>
      <c r="O3" s="310"/>
      <c r="P3" s="310"/>
    </row>
    <row r="4" spans="1:16" ht="22.5" customHeight="1" thickBot="1" x14ac:dyDescent="0.4">
      <c r="A4" s="415"/>
      <c r="B4" s="311"/>
      <c r="C4" s="311"/>
      <c r="D4" s="311"/>
      <c r="E4" s="443" t="s">
        <v>0</v>
      </c>
      <c r="F4" s="444">
        <v>7</v>
      </c>
      <c r="G4" s="310"/>
      <c r="H4" s="315" t="s">
        <v>63</v>
      </c>
      <c r="I4" s="175"/>
      <c r="J4" s="310"/>
      <c r="K4" s="550" t="s">
        <v>1</v>
      </c>
      <c r="L4" s="551"/>
      <c r="M4" s="551"/>
      <c r="N4" s="551"/>
      <c r="O4" s="551"/>
      <c r="P4" s="310"/>
    </row>
    <row r="5" spans="1:16" ht="34.5" thickBot="1" x14ac:dyDescent="0.55000000000000004">
      <c r="A5" s="311"/>
      <c r="B5" s="311"/>
      <c r="C5" s="311"/>
      <c r="D5" s="311"/>
      <c r="E5" s="445" t="s">
        <v>2</v>
      </c>
      <c r="F5" s="446">
        <v>5</v>
      </c>
      <c r="G5" s="312"/>
      <c r="H5" s="318">
        <v>25</v>
      </c>
      <c r="I5" s="6" t="s">
        <v>3</v>
      </c>
      <c r="J5" s="418"/>
      <c r="K5" s="319"/>
      <c r="L5" s="552" t="s">
        <v>4</v>
      </c>
      <c r="M5" s="553"/>
      <c r="N5" s="554" t="s">
        <v>5</v>
      </c>
      <c r="O5" s="555"/>
      <c r="P5" s="310"/>
    </row>
    <row r="6" spans="1:16" ht="23.25" x14ac:dyDescent="0.35">
      <c r="A6" s="474"/>
      <c r="B6" s="311"/>
      <c r="C6" s="311"/>
      <c r="D6" s="311"/>
      <c r="E6" s="311"/>
      <c r="F6" s="311"/>
      <c r="G6" s="311"/>
      <c r="H6" s="315" t="s">
        <v>68</v>
      </c>
      <c r="I6" s="183"/>
      <c r="J6" s="311"/>
      <c r="K6" s="320"/>
      <c r="L6" s="266" t="s">
        <v>7</v>
      </c>
      <c r="M6" s="321" t="s">
        <v>8</v>
      </c>
      <c r="N6" s="322" t="s">
        <v>7</v>
      </c>
      <c r="O6" s="13" t="s">
        <v>8</v>
      </c>
      <c r="P6" s="310"/>
    </row>
    <row r="7" spans="1:16" x14ac:dyDescent="0.25">
      <c r="A7" s="417"/>
      <c r="B7" s="311"/>
      <c r="C7" s="311"/>
      <c r="D7" s="311"/>
      <c r="E7" s="311"/>
      <c r="F7" s="311"/>
      <c r="G7" s="311"/>
      <c r="H7" s="475"/>
      <c r="I7" s="311"/>
      <c r="J7" s="311"/>
      <c r="K7" s="323"/>
      <c r="L7" s="324" t="s">
        <v>15</v>
      </c>
      <c r="M7" s="325" t="s">
        <v>16</v>
      </c>
      <c r="N7" s="326" t="s">
        <v>17</v>
      </c>
      <c r="O7" s="327" t="s">
        <v>17</v>
      </c>
      <c r="P7" s="310"/>
    </row>
    <row r="8" spans="1:16" hidden="1" x14ac:dyDescent="0.25">
      <c r="A8" s="310"/>
      <c r="B8" s="310"/>
      <c r="C8" s="310"/>
      <c r="D8" s="310"/>
      <c r="E8" s="311"/>
      <c r="F8" s="311"/>
      <c r="G8" s="311"/>
      <c r="H8" s="311"/>
      <c r="I8" s="311"/>
      <c r="J8" s="311"/>
      <c r="K8" s="197" t="s">
        <v>20</v>
      </c>
      <c r="L8" s="29">
        <f>SUM(D38)*F4</f>
        <v>1120</v>
      </c>
      <c r="M8" s="30">
        <f>SUM((E38)*F4)/2</f>
        <v>588</v>
      </c>
      <c r="N8" s="302">
        <f>SUM((D38)*F4)</f>
        <v>1120</v>
      </c>
      <c r="O8" s="32">
        <f>SUM((E38)*F4)/2</f>
        <v>588</v>
      </c>
      <c r="P8" s="310"/>
    </row>
    <row r="9" spans="1:16" hidden="1" x14ac:dyDescent="0.25">
      <c r="A9" s="310"/>
      <c r="B9" s="310"/>
      <c r="C9" s="310"/>
      <c r="D9" s="310"/>
      <c r="E9" s="311"/>
      <c r="F9" s="311"/>
      <c r="G9" s="311"/>
      <c r="H9" s="311"/>
      <c r="I9" s="311"/>
      <c r="J9" s="311"/>
      <c r="K9" s="197"/>
      <c r="L9" s="37"/>
      <c r="M9" s="38"/>
      <c r="N9" s="328"/>
      <c r="O9" s="40"/>
      <c r="P9" s="310"/>
    </row>
    <row r="10" spans="1:16" hidden="1" x14ac:dyDescent="0.25">
      <c r="A10" s="415"/>
      <c r="B10" s="311"/>
      <c r="C10" s="311"/>
      <c r="D10" s="311"/>
      <c r="E10" s="311"/>
      <c r="F10" s="311"/>
      <c r="G10" s="311"/>
      <c r="H10" s="311"/>
      <c r="I10" s="311"/>
      <c r="J10" s="311"/>
      <c r="K10" s="197"/>
      <c r="L10" s="37"/>
      <c r="M10" s="38"/>
      <c r="N10" s="329" t="s">
        <v>25</v>
      </c>
      <c r="O10" s="46" t="s">
        <v>25</v>
      </c>
      <c r="P10" s="310"/>
    </row>
    <row r="11" spans="1:16" hidden="1" x14ac:dyDescent="0.25">
      <c r="A11" s="415"/>
      <c r="B11" s="311"/>
      <c r="C11" s="311"/>
      <c r="D11" s="311"/>
      <c r="E11" s="311"/>
      <c r="F11" s="311"/>
      <c r="G11" s="311"/>
      <c r="H11" s="311"/>
      <c r="I11" s="311"/>
      <c r="J11" s="311"/>
      <c r="K11" s="197"/>
      <c r="L11" s="37"/>
      <c r="M11" s="38"/>
      <c r="N11" s="328"/>
      <c r="O11" s="40"/>
      <c r="P11" s="310"/>
    </row>
    <row r="12" spans="1:16" hidden="1" x14ac:dyDescent="0.25">
      <c r="A12" s="415"/>
      <c r="B12" s="311"/>
      <c r="C12" s="311"/>
      <c r="D12" s="311"/>
      <c r="E12" s="311"/>
      <c r="F12" s="311"/>
      <c r="G12" s="311"/>
      <c r="H12" s="311"/>
      <c r="I12" s="311"/>
      <c r="J12" s="311"/>
      <c r="K12" s="197" t="s">
        <v>15</v>
      </c>
      <c r="L12" s="29">
        <f>SUM(E42*F5)</f>
        <v>552.5</v>
      </c>
      <c r="M12" s="30">
        <f>SUM(E42*F5)</f>
        <v>552.5</v>
      </c>
      <c r="N12" s="302">
        <v>0</v>
      </c>
      <c r="O12" s="32">
        <v>0</v>
      </c>
      <c r="P12" s="310"/>
    </row>
    <row r="13" spans="1:16" hidden="1" x14ac:dyDescent="0.25">
      <c r="A13" s="415"/>
      <c r="B13" s="311"/>
      <c r="C13" s="311"/>
      <c r="D13" s="311"/>
      <c r="E13" s="311"/>
      <c r="F13" s="311"/>
      <c r="G13" s="311"/>
      <c r="H13" s="311"/>
      <c r="I13" s="311"/>
      <c r="J13" s="311"/>
      <c r="K13" s="197" t="s">
        <v>70</v>
      </c>
      <c r="L13" s="29">
        <f>SUM(E43)</f>
        <v>105</v>
      </c>
      <c r="M13" s="30">
        <f>SUM(E43)</f>
        <v>105</v>
      </c>
      <c r="N13" s="302">
        <v>105</v>
      </c>
      <c r="O13" s="32">
        <v>105</v>
      </c>
      <c r="P13" s="310"/>
    </row>
    <row r="14" spans="1:16" hidden="1" x14ac:dyDescent="0.25">
      <c r="A14" s="415"/>
      <c r="B14" s="311"/>
      <c r="C14" s="311"/>
      <c r="D14" s="311"/>
      <c r="E14" s="311"/>
      <c r="F14" s="311"/>
      <c r="G14" s="311"/>
      <c r="H14" s="311"/>
      <c r="I14" s="311"/>
      <c r="J14" s="311"/>
      <c r="K14" s="197" t="s">
        <v>34</v>
      </c>
      <c r="L14" s="29">
        <f>SUM(E44)</f>
        <v>35</v>
      </c>
      <c r="M14" s="30">
        <f>SUM(E44)</f>
        <v>35</v>
      </c>
      <c r="N14" s="302">
        <f>SUM(E44)</f>
        <v>35</v>
      </c>
      <c r="O14" s="32">
        <f>SUM(L14)</f>
        <v>35</v>
      </c>
      <c r="P14" s="310"/>
    </row>
    <row r="15" spans="1:16" ht="15.75" hidden="1" x14ac:dyDescent="0.25">
      <c r="A15" s="311"/>
      <c r="B15" s="416"/>
      <c r="C15" s="311"/>
      <c r="D15" s="311"/>
      <c r="E15" s="311"/>
      <c r="F15" s="311"/>
      <c r="G15" s="311"/>
      <c r="H15" s="311"/>
      <c r="I15" s="311"/>
      <c r="J15" s="311"/>
      <c r="K15" s="197" t="s">
        <v>37</v>
      </c>
      <c r="L15" s="29">
        <f>SUM(E45)*F4</f>
        <v>119</v>
      </c>
      <c r="M15" s="30">
        <f>SUM(E45)*F4</f>
        <v>119</v>
      </c>
      <c r="N15" s="302">
        <f>SUM(E45)*F4</f>
        <v>119</v>
      </c>
      <c r="O15" s="32">
        <f>SUM(E45)*F4</f>
        <v>119</v>
      </c>
      <c r="P15" s="310"/>
    </row>
    <row r="16" spans="1:16" ht="16.5" hidden="1" thickBot="1" x14ac:dyDescent="0.3">
      <c r="A16" s="311"/>
      <c r="B16" s="416"/>
      <c r="C16" s="311"/>
      <c r="D16" s="311"/>
      <c r="E16" s="311"/>
      <c r="F16" s="311"/>
      <c r="G16" s="311"/>
      <c r="H16" s="311"/>
      <c r="I16" s="311"/>
      <c r="J16" s="311"/>
      <c r="K16" s="330" t="s">
        <v>35</v>
      </c>
      <c r="L16" s="53">
        <f>SUM((L8)*0.25)+(L15*0.15)</f>
        <v>297.85000000000002</v>
      </c>
      <c r="M16" s="53">
        <f t="shared" ref="M16:O16" si="0">SUM((M8)*0.25)+(M15*0.15)</f>
        <v>164.85</v>
      </c>
      <c r="N16" s="331">
        <f t="shared" si="0"/>
        <v>297.85000000000002</v>
      </c>
      <c r="O16" s="331">
        <f t="shared" si="0"/>
        <v>164.85</v>
      </c>
      <c r="P16" s="310"/>
    </row>
    <row r="17" spans="1:16" ht="18.75" x14ac:dyDescent="0.3">
      <c r="A17" s="415"/>
      <c r="B17" s="311"/>
      <c r="C17" s="311"/>
      <c r="D17" s="311"/>
      <c r="E17" s="311"/>
      <c r="F17" s="311"/>
      <c r="G17" s="311"/>
      <c r="H17" s="311"/>
      <c r="I17" s="311"/>
      <c r="J17" s="309"/>
      <c r="K17" s="332" t="s">
        <v>39</v>
      </c>
      <c r="L17" s="333">
        <f>SUM(L8:L16)</f>
        <v>2229.35</v>
      </c>
      <c r="M17" s="334">
        <f>SUM(M8:M16)</f>
        <v>1564.35</v>
      </c>
      <c r="N17" s="335">
        <f>SUM(N8:N16)</f>
        <v>1676.85</v>
      </c>
      <c r="O17" s="336">
        <f>SUM(O8:O16)</f>
        <v>1011.85</v>
      </c>
      <c r="P17" s="310"/>
    </row>
    <row r="18" spans="1:16" ht="15.75" thickBot="1" x14ac:dyDescent="0.3">
      <c r="A18" s="417"/>
      <c r="B18" s="311"/>
      <c r="C18" s="311"/>
      <c r="D18" s="311"/>
      <c r="E18" s="311"/>
      <c r="F18" s="311"/>
      <c r="G18" s="311"/>
      <c r="H18" s="311"/>
      <c r="I18" s="311"/>
      <c r="J18" s="311"/>
      <c r="K18" s="337" t="s">
        <v>40</v>
      </c>
      <c r="L18" s="267">
        <f>SUM(L8+L12+L13)*H5/100</f>
        <v>444.375</v>
      </c>
      <c r="M18" s="58">
        <f>SUM(M8+M12+M13)*H5/100</f>
        <v>311.375</v>
      </c>
      <c r="N18" s="338">
        <f>SUM(N8+N12+N13)*H5/100</f>
        <v>306.25</v>
      </c>
      <c r="O18" s="60">
        <f>SUM(O8+O12+O13)*H5/100</f>
        <v>173.25</v>
      </c>
      <c r="P18" s="310"/>
    </row>
    <row r="19" spans="1:16" ht="15.75" thickBot="1" x14ac:dyDescent="0.3">
      <c r="A19" s="417"/>
      <c r="B19" s="311"/>
      <c r="C19" s="311"/>
      <c r="D19" s="311"/>
      <c r="E19" s="311"/>
      <c r="F19" s="311"/>
      <c r="G19" s="311"/>
      <c r="H19" s="311"/>
      <c r="I19" s="311"/>
      <c r="J19" s="311"/>
      <c r="K19" s="339" t="s">
        <v>41</v>
      </c>
      <c r="L19" s="53">
        <f>SUM(L17-L18)</f>
        <v>1784.9749999999999</v>
      </c>
      <c r="M19" s="54">
        <f>SUM(M17-M18)</f>
        <v>1252.9749999999999</v>
      </c>
      <c r="N19" s="331">
        <f>SUM(N17-N18)</f>
        <v>1370.6</v>
      </c>
      <c r="O19" s="55">
        <f>SUM(O17-O18)</f>
        <v>838.6</v>
      </c>
      <c r="P19" s="310"/>
    </row>
    <row r="20" spans="1:16" ht="21.75" thickBot="1" x14ac:dyDescent="0.4">
      <c r="A20" s="556" t="s">
        <v>42</v>
      </c>
      <c r="B20" s="557"/>
      <c r="C20" s="557"/>
      <c r="D20" s="557"/>
      <c r="E20" s="558"/>
      <c r="F20" s="559" t="s">
        <v>43</v>
      </c>
      <c r="G20" s="560"/>
      <c r="H20" s="560"/>
      <c r="I20" s="560"/>
      <c r="J20" s="561"/>
      <c r="K20" s="562" t="s">
        <v>45</v>
      </c>
      <c r="L20" s="563"/>
      <c r="M20" s="563"/>
      <c r="N20" s="563"/>
      <c r="O20" s="563"/>
      <c r="P20" s="310"/>
    </row>
    <row r="21" spans="1:16" ht="19.5" thickBot="1" x14ac:dyDescent="0.35">
      <c r="A21" s="340"/>
      <c r="B21" s="565" t="s">
        <v>4</v>
      </c>
      <c r="C21" s="566"/>
      <c r="D21" s="567" t="s">
        <v>5</v>
      </c>
      <c r="E21" s="568"/>
      <c r="F21" s="9"/>
      <c r="G21" s="569" t="s">
        <v>4</v>
      </c>
      <c r="H21" s="570"/>
      <c r="I21" s="571" t="s">
        <v>5</v>
      </c>
      <c r="J21" s="572"/>
      <c r="K21" s="341"/>
      <c r="L21" s="543" t="s">
        <v>4</v>
      </c>
      <c r="M21" s="544"/>
      <c r="N21" s="545" t="s">
        <v>5</v>
      </c>
      <c r="O21" s="546"/>
      <c r="P21" s="310"/>
    </row>
    <row r="22" spans="1:16" x14ac:dyDescent="0.25">
      <c r="A22" s="342"/>
      <c r="B22" s="68" t="s">
        <v>7</v>
      </c>
      <c r="C22" s="69" t="s">
        <v>8</v>
      </c>
      <c r="D22" s="70" t="s">
        <v>7</v>
      </c>
      <c r="E22" s="71" t="s">
        <v>8</v>
      </c>
      <c r="F22" s="67"/>
      <c r="G22" s="343" t="s">
        <v>7</v>
      </c>
      <c r="H22" s="73" t="s">
        <v>8</v>
      </c>
      <c r="I22" s="75" t="s">
        <v>7</v>
      </c>
      <c r="J22" s="76" t="s">
        <v>8</v>
      </c>
      <c r="K22" s="344"/>
      <c r="L22" s="345" t="s">
        <v>7</v>
      </c>
      <c r="M22" s="131" t="s">
        <v>8</v>
      </c>
      <c r="N22" s="346" t="s">
        <v>7</v>
      </c>
      <c r="O22" s="133" t="s">
        <v>8</v>
      </c>
      <c r="P22" s="310"/>
    </row>
    <row r="23" spans="1:16" x14ac:dyDescent="0.25">
      <c r="A23" s="342"/>
      <c r="B23" s="68" t="s">
        <v>44</v>
      </c>
      <c r="C23" s="78" t="s">
        <v>16</v>
      </c>
      <c r="D23" s="79" t="s">
        <v>17</v>
      </c>
      <c r="E23" s="80" t="s">
        <v>17</v>
      </c>
      <c r="F23" s="81"/>
      <c r="G23" s="347" t="s">
        <v>15</v>
      </c>
      <c r="H23" s="83" t="s">
        <v>16</v>
      </c>
      <c r="I23" s="84" t="s">
        <v>17</v>
      </c>
      <c r="J23" s="85" t="s">
        <v>17</v>
      </c>
      <c r="K23" s="348"/>
      <c r="L23" s="349" t="s">
        <v>15</v>
      </c>
      <c r="M23" s="136" t="s">
        <v>16</v>
      </c>
      <c r="N23" s="350" t="s">
        <v>17</v>
      </c>
      <c r="O23" s="138" t="s">
        <v>17</v>
      </c>
      <c r="P23" s="310"/>
    </row>
    <row r="24" spans="1:16" hidden="1" x14ac:dyDescent="0.25">
      <c r="A24" s="351" t="s">
        <v>20</v>
      </c>
      <c r="B24" s="87">
        <f>SUM(D39*F4)</f>
        <v>1400</v>
      </c>
      <c r="C24" s="88">
        <f>SUM((E39)*F4)/2</f>
        <v>728</v>
      </c>
      <c r="D24" s="89">
        <f>SUM((D39)*F4)</f>
        <v>1400</v>
      </c>
      <c r="E24" s="90">
        <f>SUM((E39)*F4)/2</f>
        <v>728</v>
      </c>
      <c r="F24" s="28" t="s">
        <v>20</v>
      </c>
      <c r="G24" s="352">
        <f>SUM((D40)*F4)</f>
        <v>1540</v>
      </c>
      <c r="H24" s="92">
        <f>SUM((E40)*F4)/2</f>
        <v>798</v>
      </c>
      <c r="I24" s="93">
        <f>SUM(D40*F4)</f>
        <v>1540</v>
      </c>
      <c r="J24" s="94">
        <f>SUM((E40)*F4)/2</f>
        <v>798</v>
      </c>
      <c r="K24" s="28" t="s">
        <v>20</v>
      </c>
      <c r="L24" s="353">
        <f>SUM((D41)*F4)</f>
        <v>1680</v>
      </c>
      <c r="M24" s="141">
        <f>SUM((E41)*F4)/2</f>
        <v>868</v>
      </c>
      <c r="N24" s="354">
        <f>SUM((D41)*F4)</f>
        <v>1680</v>
      </c>
      <c r="O24" s="143">
        <f>SUM((E41)*F4)/2</f>
        <v>868</v>
      </c>
      <c r="P24" s="310"/>
    </row>
    <row r="25" spans="1:16" hidden="1" x14ac:dyDescent="0.25">
      <c r="A25" s="351"/>
      <c r="B25" s="97"/>
      <c r="C25" s="98"/>
      <c r="D25" s="99"/>
      <c r="E25" s="100"/>
      <c r="F25" s="28"/>
      <c r="G25" s="355"/>
      <c r="H25" s="102"/>
      <c r="I25" s="103"/>
      <c r="J25" s="104"/>
      <c r="K25" s="28"/>
      <c r="L25" s="356"/>
      <c r="M25" s="145"/>
      <c r="N25" s="357"/>
      <c r="O25" s="147"/>
      <c r="P25" s="310"/>
    </row>
    <row r="26" spans="1:16" hidden="1" x14ac:dyDescent="0.25">
      <c r="A26" s="351"/>
      <c r="B26" s="68"/>
      <c r="C26" s="98"/>
      <c r="D26" s="105"/>
      <c r="E26" s="106"/>
      <c r="F26" s="28"/>
      <c r="G26" s="358"/>
      <c r="H26" s="108"/>
      <c r="I26" s="109"/>
      <c r="J26" s="110"/>
      <c r="K26" s="28"/>
      <c r="L26" s="356"/>
      <c r="M26" s="148"/>
      <c r="N26" s="357"/>
      <c r="O26" s="149"/>
      <c r="P26" s="310"/>
    </row>
    <row r="27" spans="1:16" hidden="1" x14ac:dyDescent="0.25">
      <c r="A27" s="351"/>
      <c r="B27" s="97"/>
      <c r="C27" s="98"/>
      <c r="D27" s="99"/>
      <c r="E27" s="100"/>
      <c r="F27" s="28"/>
      <c r="G27" s="355"/>
      <c r="H27" s="102"/>
      <c r="I27" s="103"/>
      <c r="J27" s="104"/>
      <c r="K27" s="28"/>
      <c r="L27" s="356"/>
      <c r="M27" s="145"/>
      <c r="N27" s="357"/>
      <c r="O27" s="147"/>
      <c r="P27" s="310"/>
    </row>
    <row r="28" spans="1:16" hidden="1" x14ac:dyDescent="0.25">
      <c r="A28" s="351" t="s">
        <v>15</v>
      </c>
      <c r="B28" s="409">
        <f>SUM(E42*F5)</f>
        <v>552.5</v>
      </c>
      <c r="C28" s="88">
        <f>SUM(E42*F5)</f>
        <v>552.5</v>
      </c>
      <c r="D28" s="89">
        <v>0</v>
      </c>
      <c r="E28" s="90">
        <v>0</v>
      </c>
      <c r="F28" s="28" t="s">
        <v>15</v>
      </c>
      <c r="G28" s="352">
        <f>SUM(E42*F5)</f>
        <v>552.5</v>
      </c>
      <c r="H28" s="92">
        <f>SUM(E42*F5)</f>
        <v>552.5</v>
      </c>
      <c r="I28" s="93">
        <v>0</v>
      </c>
      <c r="J28" s="94">
        <v>0</v>
      </c>
      <c r="K28" s="28" t="s">
        <v>15</v>
      </c>
      <c r="L28" s="353">
        <f>SUM(E42*F5)</f>
        <v>552.5</v>
      </c>
      <c r="M28" s="141">
        <f>SUM(E42*F5)</f>
        <v>552.5</v>
      </c>
      <c r="N28" s="354">
        <v>0</v>
      </c>
      <c r="O28" s="143">
        <v>0</v>
      </c>
      <c r="P28" s="310"/>
    </row>
    <row r="29" spans="1:16" hidden="1" x14ac:dyDescent="0.25">
      <c r="A29" s="351" t="s">
        <v>4</v>
      </c>
      <c r="B29" s="409">
        <f>SUM(E43)</f>
        <v>105</v>
      </c>
      <c r="C29" s="88">
        <f>SUM(E43)</f>
        <v>105</v>
      </c>
      <c r="D29" s="89">
        <v>105</v>
      </c>
      <c r="E29" s="90">
        <v>105</v>
      </c>
      <c r="F29" s="351" t="s">
        <v>4</v>
      </c>
      <c r="G29" s="352">
        <f>SUM(E43)</f>
        <v>105</v>
      </c>
      <c r="H29" s="92">
        <f>SUM(E43)</f>
        <v>105</v>
      </c>
      <c r="I29" s="93">
        <v>105</v>
      </c>
      <c r="J29" s="94">
        <v>105</v>
      </c>
      <c r="K29" s="351" t="s">
        <v>4</v>
      </c>
      <c r="L29" s="353">
        <f>SUM(E43)</f>
        <v>105</v>
      </c>
      <c r="M29" s="141">
        <f>SUM(E43)</f>
        <v>105</v>
      </c>
      <c r="N29" s="354">
        <v>105</v>
      </c>
      <c r="O29" s="143">
        <v>105</v>
      </c>
      <c r="P29" s="310"/>
    </row>
    <row r="30" spans="1:16" hidden="1" x14ac:dyDescent="0.25">
      <c r="A30" s="351" t="s">
        <v>34</v>
      </c>
      <c r="B30" s="409">
        <f>SUM(E44)</f>
        <v>35</v>
      </c>
      <c r="C30" s="88">
        <f>SUM(E44)</f>
        <v>35</v>
      </c>
      <c r="D30" s="89">
        <f>SUM(E44)</f>
        <v>35</v>
      </c>
      <c r="E30" s="90">
        <f>SUM(B30)</f>
        <v>35</v>
      </c>
      <c r="F30" s="28" t="s">
        <v>34</v>
      </c>
      <c r="G30" s="352">
        <f>SUM(E44)</f>
        <v>35</v>
      </c>
      <c r="H30" s="92">
        <f>SUM(E44)</f>
        <v>35</v>
      </c>
      <c r="I30" s="93">
        <f>SUM(E44)</f>
        <v>35</v>
      </c>
      <c r="J30" s="94">
        <f>SUM(E44)</f>
        <v>35</v>
      </c>
      <c r="K30" s="28" t="s">
        <v>34</v>
      </c>
      <c r="L30" s="353">
        <f>SUM(E44)</f>
        <v>35</v>
      </c>
      <c r="M30" s="141">
        <f>SUM(E44)</f>
        <v>35</v>
      </c>
      <c r="N30" s="354">
        <f>SUM(E44)</f>
        <v>35</v>
      </c>
      <c r="O30" s="143">
        <f>SUM(E44)</f>
        <v>35</v>
      </c>
      <c r="P30" s="310"/>
    </row>
    <row r="31" spans="1:16" hidden="1" x14ac:dyDescent="0.25">
      <c r="A31" s="351" t="s">
        <v>37</v>
      </c>
      <c r="B31" s="409">
        <f>SUM(E45)*F4</f>
        <v>119</v>
      </c>
      <c r="C31" s="88">
        <f>SUM(E45)*F4</f>
        <v>119</v>
      </c>
      <c r="D31" s="89">
        <f>SUM(E45)*F4</f>
        <v>119</v>
      </c>
      <c r="E31" s="90">
        <f>SUM(E45)*F4</f>
        <v>119</v>
      </c>
      <c r="F31" s="28" t="s">
        <v>37</v>
      </c>
      <c r="G31" s="352">
        <f>SUM(E45)*F4</f>
        <v>119</v>
      </c>
      <c r="H31" s="92">
        <f>SUM(E45)*F4</f>
        <v>119</v>
      </c>
      <c r="I31" s="116">
        <f>SUM(E45)*F4</f>
        <v>119</v>
      </c>
      <c r="J31" s="94">
        <f>SUM(E45)*F4</f>
        <v>119</v>
      </c>
      <c r="K31" s="28" t="s">
        <v>46</v>
      </c>
      <c r="L31" s="353">
        <f>SUM(E45)*F4</f>
        <v>119</v>
      </c>
      <c r="M31" s="141">
        <f>SUM(E45)*F4</f>
        <v>119</v>
      </c>
      <c r="N31" s="354">
        <f>SUM(E45)*F4</f>
        <v>119</v>
      </c>
      <c r="O31" s="143">
        <f>SUM(E45)*F4</f>
        <v>119</v>
      </c>
      <c r="P31" s="310"/>
    </row>
    <row r="32" spans="1:16" hidden="1" x14ac:dyDescent="0.25">
      <c r="A32" s="351" t="s">
        <v>35</v>
      </c>
      <c r="B32" s="410">
        <f>SUM((B24)*0.25)+(B31*0.15)</f>
        <v>367.85</v>
      </c>
      <c r="C32" s="410">
        <f t="shared" ref="C32:E32" si="1">SUM((C24)*0.25)+(C31*0.15)</f>
        <v>199.85</v>
      </c>
      <c r="D32" s="411">
        <f t="shared" si="1"/>
        <v>367.85</v>
      </c>
      <c r="E32" s="411">
        <f t="shared" si="1"/>
        <v>199.85</v>
      </c>
      <c r="F32" s="28" t="s">
        <v>35</v>
      </c>
      <c r="G32" s="359">
        <f>SUM((G24)*0.25)+(G31*0.15)</f>
        <v>402.85</v>
      </c>
      <c r="H32" s="359">
        <f t="shared" ref="H32:J32" si="2">SUM((H24)*0.25)+(H31*0.15)</f>
        <v>217.35</v>
      </c>
      <c r="I32" s="360">
        <f t="shared" si="2"/>
        <v>402.85</v>
      </c>
      <c r="J32" s="360">
        <f t="shared" si="2"/>
        <v>217.35</v>
      </c>
      <c r="K32" s="28" t="s">
        <v>35</v>
      </c>
      <c r="L32" s="361">
        <f>SUM((L24)*0.25)+(L31*0.15)</f>
        <v>437.85</v>
      </c>
      <c r="M32" s="361">
        <f t="shared" ref="M32:O32" si="3">SUM((M24)*0.25)+(M31*0.15)</f>
        <v>234.85</v>
      </c>
      <c r="N32" s="362">
        <f t="shared" si="3"/>
        <v>437.85</v>
      </c>
      <c r="O32" s="362">
        <f t="shared" si="3"/>
        <v>234.85</v>
      </c>
      <c r="P32" s="310"/>
    </row>
    <row r="33" spans="1:16" ht="18.75" x14ac:dyDescent="0.3">
      <c r="A33" s="363" t="s">
        <v>39</v>
      </c>
      <c r="B33" s="364">
        <f t="shared" ref="B33:E33" si="4">SUM(B24:B32)</f>
        <v>2579.35</v>
      </c>
      <c r="C33" s="365">
        <f t="shared" si="4"/>
        <v>1739.35</v>
      </c>
      <c r="D33" s="366">
        <f t="shared" si="4"/>
        <v>2026.85</v>
      </c>
      <c r="E33" s="367">
        <f t="shared" si="4"/>
        <v>1186.8499999999999</v>
      </c>
      <c r="F33" s="368" t="s">
        <v>39</v>
      </c>
      <c r="G33" s="369">
        <f>SUM(G24:G32)</f>
        <v>2754.35</v>
      </c>
      <c r="H33" s="122">
        <f>SUM(H24:H32)</f>
        <v>1826.85</v>
      </c>
      <c r="I33" s="370">
        <f>SUM(I24:I32)</f>
        <v>2201.85</v>
      </c>
      <c r="J33" s="371">
        <f>SUM(J24:J32)</f>
        <v>1274.3499999999999</v>
      </c>
      <c r="K33" s="368" t="s">
        <v>39</v>
      </c>
      <c r="L33" s="372">
        <f t="shared" ref="L33:O33" si="5">SUM(L24:L32)</f>
        <v>2929.35</v>
      </c>
      <c r="M33" s="373">
        <f t="shared" si="5"/>
        <v>1914.35</v>
      </c>
      <c r="N33" s="374">
        <f t="shared" si="5"/>
        <v>2376.85</v>
      </c>
      <c r="O33" s="375">
        <f t="shared" si="5"/>
        <v>1361.85</v>
      </c>
      <c r="P33" s="310"/>
    </row>
    <row r="34" spans="1:16" ht="15.75" thickBot="1" x14ac:dyDescent="0.3">
      <c r="A34" s="376" t="s">
        <v>40</v>
      </c>
      <c r="B34" s="377">
        <f>SUM(B24+B28+B29)*H5/100</f>
        <v>514.375</v>
      </c>
      <c r="C34" s="378">
        <f>SUM(C24+C28+C29)*H5/100</f>
        <v>346.375</v>
      </c>
      <c r="D34" s="379">
        <f>SUM(D24+D28+D29)*H5/100</f>
        <v>376.25</v>
      </c>
      <c r="E34" s="380">
        <f>SUM(E24+E28+E29)*H5/100</f>
        <v>208.25</v>
      </c>
      <c r="F34" s="28" t="s">
        <v>40</v>
      </c>
      <c r="G34" s="381">
        <f>SUM(G24+G28+G29)*H5/100</f>
        <v>549.375</v>
      </c>
      <c r="H34" s="382">
        <f>SUM(H24+H28+H29)*H5/100</f>
        <v>363.875</v>
      </c>
      <c r="I34" s="383">
        <f>SUM(I24+I28+I29)*H5/100</f>
        <v>411.25</v>
      </c>
      <c r="J34" s="384">
        <f>SUM(J24+J28+J29)*H5/100</f>
        <v>225.75</v>
      </c>
      <c r="K34" s="124" t="s">
        <v>40</v>
      </c>
      <c r="L34" s="385">
        <f>SUM(L24+L28+L29)*H5/100</f>
        <v>584.375</v>
      </c>
      <c r="M34" s="386">
        <f>SUM(M24+M28+M29)*H5/100</f>
        <v>381.375</v>
      </c>
      <c r="N34" s="387">
        <f>SUM(N24+N28+N29)*H5/100</f>
        <v>446.25</v>
      </c>
      <c r="O34" s="388">
        <f>SUM(O24+O28+O29)*H5/100</f>
        <v>243.25</v>
      </c>
      <c r="P34" s="310"/>
    </row>
    <row r="35" spans="1:16" ht="15.75" thickBot="1" x14ac:dyDescent="0.3">
      <c r="A35" s="363" t="s">
        <v>41</v>
      </c>
      <c r="B35" s="389">
        <f t="shared" ref="B35:E35" si="6">SUM(B33-B34)</f>
        <v>2064.9749999999999</v>
      </c>
      <c r="C35" s="390">
        <f t="shared" si="6"/>
        <v>1392.9749999999999</v>
      </c>
      <c r="D35" s="391">
        <f t="shared" si="6"/>
        <v>1650.6</v>
      </c>
      <c r="E35" s="392">
        <f t="shared" si="6"/>
        <v>978.59999999999991</v>
      </c>
      <c r="F35" s="393" t="s">
        <v>41</v>
      </c>
      <c r="G35" s="394">
        <f>SUM(G33-G34)</f>
        <v>2204.9749999999999</v>
      </c>
      <c r="H35" s="127">
        <f>SUM(H33-H34)</f>
        <v>1462.9749999999999</v>
      </c>
      <c r="I35" s="395">
        <f>SUM(I33-I34)</f>
        <v>1790.6</v>
      </c>
      <c r="J35" s="94">
        <f>SUM(J33-J34)</f>
        <v>1048.5999999999999</v>
      </c>
      <c r="K35" s="393" t="s">
        <v>41</v>
      </c>
      <c r="L35" s="396">
        <f t="shared" ref="L35:O35" si="7">SUM(L33-L34)</f>
        <v>2344.9749999999999</v>
      </c>
      <c r="M35" s="397">
        <f t="shared" si="7"/>
        <v>1532.9749999999999</v>
      </c>
      <c r="N35" s="398">
        <f t="shared" si="7"/>
        <v>1930.6</v>
      </c>
      <c r="O35" s="388">
        <f t="shared" si="7"/>
        <v>1118.5999999999999</v>
      </c>
      <c r="P35" s="310"/>
    </row>
    <row r="36" spans="1:16" ht="24.95" customHeight="1" x14ac:dyDescent="0.25">
      <c r="A36" s="311"/>
      <c r="B36" s="419"/>
      <c r="C36" s="311"/>
      <c r="D36" s="311"/>
      <c r="E36" s="311"/>
      <c r="F36" s="311"/>
      <c r="G36" s="311"/>
      <c r="H36" s="311"/>
      <c r="I36" s="419"/>
      <c r="J36" s="310"/>
      <c r="K36" s="310"/>
      <c r="L36" s="310"/>
      <c r="M36" s="310"/>
      <c r="N36" s="310"/>
      <c r="O36" s="310"/>
      <c r="P36" s="310"/>
    </row>
    <row r="37" spans="1:16" ht="16.5" hidden="1" customHeight="1" x14ac:dyDescent="0.25">
      <c r="A37" s="311"/>
      <c r="B37" s="399"/>
      <c r="C37" s="317" t="s">
        <v>6</v>
      </c>
      <c r="D37" s="400" t="s">
        <v>7</v>
      </c>
      <c r="E37" s="400" t="s">
        <v>8</v>
      </c>
      <c r="F37" s="400" t="s">
        <v>9</v>
      </c>
      <c r="G37" s="400" t="s">
        <v>10</v>
      </c>
      <c r="H37" s="311"/>
      <c r="I37" s="564" t="s">
        <v>14</v>
      </c>
      <c r="J37" s="564"/>
      <c r="K37" s="415"/>
      <c r="L37" s="311"/>
      <c r="M37" s="311"/>
      <c r="N37" s="310"/>
      <c r="O37" s="310"/>
      <c r="P37" s="310"/>
    </row>
    <row r="38" spans="1:16" hidden="1" x14ac:dyDescent="0.25">
      <c r="A38" s="311"/>
      <c r="B38" s="401" t="s">
        <v>12</v>
      </c>
      <c r="C38" s="15" t="s">
        <v>13</v>
      </c>
      <c r="D38" s="16">
        <f>SUM(0.8*200)</f>
        <v>160</v>
      </c>
      <c r="E38" s="17">
        <f>SUM(210*0.8)</f>
        <v>168</v>
      </c>
      <c r="F38" s="17">
        <f>SUM(220*0.8)</f>
        <v>176</v>
      </c>
      <c r="G38" s="18">
        <f>SUM(230*0.8)</f>
        <v>184</v>
      </c>
      <c r="H38" s="311"/>
      <c r="I38" s="437" t="s">
        <v>19</v>
      </c>
      <c r="J38" s="440">
        <v>25</v>
      </c>
      <c r="K38" s="415"/>
      <c r="L38" s="311"/>
      <c r="M38" s="311"/>
      <c r="N38" s="310"/>
      <c r="O38" s="310"/>
      <c r="P38" s="310"/>
    </row>
    <row r="39" spans="1:16" hidden="1" x14ac:dyDescent="0.25">
      <c r="A39" s="311"/>
      <c r="B39" s="401" t="s">
        <v>12</v>
      </c>
      <c r="C39" s="23" t="s">
        <v>18</v>
      </c>
      <c r="D39" s="24">
        <f>SUM(250*0.8)</f>
        <v>200</v>
      </c>
      <c r="E39" s="25">
        <f>SUM(260*0.8)</f>
        <v>208</v>
      </c>
      <c r="F39" s="25">
        <f>SUM(270*0.8)</f>
        <v>216</v>
      </c>
      <c r="G39" s="26">
        <f>SUM(280*0.8)</f>
        <v>224</v>
      </c>
      <c r="H39" s="311"/>
      <c r="I39" s="437"/>
      <c r="J39" s="440">
        <v>0</v>
      </c>
      <c r="K39" s="311"/>
      <c r="L39" s="311"/>
      <c r="M39" s="311"/>
      <c r="N39" s="310"/>
      <c r="O39" s="310"/>
      <c r="P39" s="310"/>
    </row>
    <row r="40" spans="1:16" hidden="1" x14ac:dyDescent="0.25">
      <c r="A40" s="311"/>
      <c r="B40" s="401" t="s">
        <v>12</v>
      </c>
      <c r="C40" s="33" t="s">
        <v>21</v>
      </c>
      <c r="D40" s="34">
        <f>SUM(275*0.8)</f>
        <v>220</v>
      </c>
      <c r="E40" s="35">
        <f>SUM(285*0.8)</f>
        <v>228</v>
      </c>
      <c r="F40" s="35">
        <f>SUM(295*0.8)</f>
        <v>236</v>
      </c>
      <c r="G40" s="36">
        <f>SUM(305*0.8)</f>
        <v>244</v>
      </c>
      <c r="H40" s="311"/>
      <c r="I40" s="437"/>
      <c r="J40" s="440">
        <v>0</v>
      </c>
      <c r="K40" s="417"/>
      <c r="L40" s="311"/>
      <c r="M40" s="311"/>
      <c r="N40" s="310"/>
      <c r="O40" s="310"/>
      <c r="P40" s="310"/>
    </row>
    <row r="41" spans="1:16" hidden="1" x14ac:dyDescent="0.25">
      <c r="A41" s="311"/>
      <c r="B41" s="401" t="s">
        <v>12</v>
      </c>
      <c r="C41" s="41" t="s">
        <v>23</v>
      </c>
      <c r="D41" s="42">
        <f>SUM(300*0.8)</f>
        <v>240</v>
      </c>
      <c r="E41" s="43">
        <f>SUM(310*0.8)</f>
        <v>248</v>
      </c>
      <c r="F41" s="43">
        <f>SUM(320*0.8)</f>
        <v>256</v>
      </c>
      <c r="G41" s="44">
        <f>SUM(330*0.8)</f>
        <v>264</v>
      </c>
      <c r="H41" s="311"/>
      <c r="I41" s="442" t="s">
        <v>57</v>
      </c>
      <c r="J41" s="440">
        <f>SUM(2*10)</f>
        <v>20</v>
      </c>
      <c r="K41" s="417"/>
      <c r="L41" s="311"/>
      <c r="M41" s="311"/>
      <c r="N41" s="310"/>
      <c r="O41" s="310"/>
      <c r="P41" s="310"/>
    </row>
    <row r="42" spans="1:16" hidden="1" x14ac:dyDescent="0.25">
      <c r="A42" s="311"/>
      <c r="B42" s="402" t="s">
        <v>12</v>
      </c>
      <c r="C42" s="48" t="s">
        <v>26</v>
      </c>
      <c r="D42" s="49"/>
      <c r="E42" s="403">
        <v>110.5</v>
      </c>
      <c r="F42" s="423" t="s">
        <v>27</v>
      </c>
      <c r="G42" s="310"/>
      <c r="H42" s="311"/>
      <c r="I42" s="438"/>
      <c r="J42" s="440">
        <v>0</v>
      </c>
      <c r="K42" s="310"/>
      <c r="L42" s="311"/>
      <c r="M42" s="311"/>
      <c r="N42" s="310"/>
      <c r="O42" s="310"/>
      <c r="P42" s="310"/>
    </row>
    <row r="43" spans="1:16" hidden="1" x14ac:dyDescent="0.25">
      <c r="A43" s="311"/>
      <c r="B43" s="404"/>
      <c r="C43" s="405" t="s">
        <v>71</v>
      </c>
      <c r="D43" s="406"/>
      <c r="E43" s="407">
        <v>105</v>
      </c>
      <c r="F43" s="428"/>
      <c r="G43" s="310"/>
      <c r="H43" s="311"/>
      <c r="I43" s="438" t="s">
        <v>59</v>
      </c>
      <c r="J43" s="440">
        <v>10</v>
      </c>
      <c r="K43" s="310"/>
      <c r="L43" s="311"/>
      <c r="M43" s="311"/>
      <c r="N43" s="310"/>
      <c r="O43" s="310"/>
      <c r="P43" s="310"/>
    </row>
    <row r="44" spans="1:16" hidden="1" x14ac:dyDescent="0.25">
      <c r="A44" s="311"/>
      <c r="B44" s="420" t="s">
        <v>28</v>
      </c>
      <c r="C44" s="421" t="s">
        <v>14</v>
      </c>
      <c r="D44" s="49"/>
      <c r="E44" s="422">
        <v>35</v>
      </c>
      <c r="F44" s="423" t="s">
        <v>29</v>
      </c>
      <c r="G44" s="310"/>
      <c r="H44" s="311"/>
      <c r="I44" s="438" t="s">
        <v>64</v>
      </c>
      <c r="J44" s="441">
        <v>10</v>
      </c>
      <c r="K44" s="310"/>
      <c r="L44" s="310"/>
      <c r="M44" s="310"/>
      <c r="N44" s="310"/>
      <c r="O44" s="310"/>
      <c r="P44" s="310"/>
    </row>
    <row r="45" spans="1:16" hidden="1" x14ac:dyDescent="0.25">
      <c r="A45" s="311"/>
      <c r="B45" s="424" t="s">
        <v>28</v>
      </c>
      <c r="C45" s="7" t="s">
        <v>31</v>
      </c>
      <c r="D45" s="7"/>
      <c r="E45" s="198">
        <v>17</v>
      </c>
      <c r="F45" s="425" t="s">
        <v>32</v>
      </c>
      <c r="G45" s="310"/>
      <c r="H45" s="311"/>
      <c r="I45" s="438"/>
      <c r="J45" s="441">
        <v>0</v>
      </c>
      <c r="K45" s="310"/>
      <c r="L45" s="310"/>
      <c r="M45" s="310"/>
      <c r="N45" s="310"/>
      <c r="O45" s="310"/>
      <c r="P45" s="310"/>
    </row>
    <row r="46" spans="1:16" hidden="1" x14ac:dyDescent="0.25">
      <c r="A46" s="311"/>
      <c r="B46" s="426" t="s">
        <v>28</v>
      </c>
      <c r="C46" s="406" t="s">
        <v>35</v>
      </c>
      <c r="D46" s="427" t="s">
        <v>73</v>
      </c>
      <c r="E46" s="427"/>
      <c r="F46" s="428"/>
      <c r="G46" s="310"/>
      <c r="H46" s="311"/>
      <c r="I46" s="438" t="s">
        <v>66</v>
      </c>
      <c r="J46" s="441">
        <v>75</v>
      </c>
      <c r="K46" s="310"/>
      <c r="L46" s="310"/>
      <c r="M46" s="310"/>
      <c r="N46" s="310"/>
      <c r="O46" s="310"/>
      <c r="P46" s="310"/>
    </row>
    <row r="47" spans="1:16" x14ac:dyDescent="0.25">
      <c r="A47" s="310"/>
      <c r="B47" s="310"/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</row>
    <row r="48" spans="1:16" ht="21" x14ac:dyDescent="0.35">
      <c r="A48" s="453" t="s">
        <v>74</v>
      </c>
      <c r="B48" s="452"/>
      <c r="C48" s="452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</row>
    <row r="49" spans="1:16" ht="21" x14ac:dyDescent="0.35">
      <c r="A49" s="453"/>
      <c r="B49" s="452"/>
      <c r="C49" s="452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</row>
    <row r="50" spans="1:16" ht="21" x14ac:dyDescent="0.35">
      <c r="A50" s="452"/>
      <c r="B50" s="452"/>
      <c r="C50" s="452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</row>
    <row r="51" spans="1:16" ht="21" x14ac:dyDescent="0.35">
      <c r="A51" s="453"/>
      <c r="B51" s="452"/>
      <c r="C51" s="452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</row>
    <row r="52" spans="1:16" x14ac:dyDescent="0.25">
      <c r="A52" s="310"/>
      <c r="B52" s="310"/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</row>
    <row r="53" spans="1:16" x14ac:dyDescent="0.25">
      <c r="A53" s="310"/>
      <c r="B53" s="310"/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</row>
    <row r="54" spans="1:16" x14ac:dyDescent="0.25">
      <c r="A54" s="310"/>
      <c r="B54" s="310"/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</row>
    <row r="55" spans="1:16" x14ac:dyDescent="0.25">
      <c r="A55" s="310"/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</row>
  </sheetData>
  <mergeCells count="14">
    <mergeCell ref="I37:J37"/>
    <mergeCell ref="B21:C21"/>
    <mergeCell ref="D21:E21"/>
    <mergeCell ref="G21:H21"/>
    <mergeCell ref="I21:J21"/>
    <mergeCell ref="L21:M21"/>
    <mergeCell ref="N21:O21"/>
    <mergeCell ref="B1:E1"/>
    <mergeCell ref="K4:O4"/>
    <mergeCell ref="L5:M5"/>
    <mergeCell ref="N5:O5"/>
    <mergeCell ref="A20:E20"/>
    <mergeCell ref="F20:J20"/>
    <mergeCell ref="K20:O20"/>
  </mergeCells>
  <conditionalFormatting sqref="H5">
    <cfRule type="cellIs" dxfId="23" priority="4" operator="greaterThan">
      <formula>20</formula>
    </cfRule>
  </conditionalFormatting>
  <conditionalFormatting sqref="F4">
    <cfRule type="cellIs" dxfId="22" priority="2" operator="lessThan">
      <formula>5</formula>
    </cfRule>
    <cfRule type="cellIs" dxfId="21" priority="3" operator="lessThan">
      <formula>5</formula>
    </cfRule>
  </conditionalFormatting>
  <conditionalFormatting sqref="F5">
    <cfRule type="cellIs" dxfId="20" priority="1" operator="lessThan">
      <formula>4</formula>
    </cfRule>
  </conditionalFormatting>
  <pageMargins left="0.75" right="0.75" top="1" bottom="1" header="0.5" footer="0.5"/>
  <pageSetup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P55"/>
  <sheetViews>
    <sheetView zoomScaleNormal="100" workbookViewId="0">
      <selection activeCell="H5" sqref="H5"/>
    </sheetView>
  </sheetViews>
  <sheetFormatPr defaultColWidth="11.42578125" defaultRowHeight="15" x14ac:dyDescent="0.25"/>
  <cols>
    <col min="2" max="2" width="18.85546875" customWidth="1"/>
    <col min="3" max="3" width="19.7109375" customWidth="1"/>
    <col min="4" max="4" width="16.28515625" customWidth="1"/>
    <col min="5" max="5" width="19.28515625" customWidth="1"/>
    <col min="6" max="6" width="18.42578125" customWidth="1"/>
    <col min="7" max="7" width="14.85546875" customWidth="1"/>
    <col min="8" max="8" width="15.28515625" customWidth="1"/>
    <col min="9" max="9" width="16.5703125" customWidth="1"/>
    <col min="10" max="10" width="15.28515625" customWidth="1"/>
    <col min="11" max="11" width="17.28515625" customWidth="1"/>
    <col min="12" max="12" width="15.28515625" customWidth="1"/>
    <col min="13" max="14" width="14.85546875" customWidth="1"/>
    <col min="15" max="15" width="14.5703125" customWidth="1"/>
  </cols>
  <sheetData>
    <row r="1" spans="1:16" ht="33.950000000000003" customHeight="1" thickBot="1" x14ac:dyDescent="0.55000000000000004">
      <c r="A1" s="454"/>
      <c r="B1" s="547" t="s">
        <v>67</v>
      </c>
      <c r="C1" s="548"/>
      <c r="D1" s="548"/>
      <c r="E1" s="549"/>
      <c r="F1" s="484" t="s">
        <v>77</v>
      </c>
      <c r="G1" s="454"/>
      <c r="H1" s="454"/>
      <c r="I1" s="454"/>
      <c r="J1" s="454"/>
      <c r="K1" s="454"/>
      <c r="L1" s="485"/>
      <c r="M1" s="485"/>
      <c r="N1" s="485"/>
      <c r="O1" s="485"/>
      <c r="P1" s="454"/>
    </row>
    <row r="2" spans="1:16" ht="32.1" customHeight="1" x14ac:dyDescent="0.4">
      <c r="A2" s="483" t="s">
        <v>60</v>
      </c>
      <c r="B2" s="458"/>
      <c r="C2" s="458"/>
      <c r="D2" s="454"/>
      <c r="E2" s="466"/>
      <c r="F2" s="467"/>
      <c r="G2" s="454"/>
      <c r="H2" s="454"/>
      <c r="I2" s="454"/>
      <c r="J2" s="454"/>
      <c r="K2" s="454"/>
      <c r="L2" s="468"/>
      <c r="M2" s="468"/>
      <c r="N2" s="468"/>
      <c r="O2" s="468"/>
      <c r="P2" s="454"/>
    </row>
    <row r="3" spans="1:16" ht="18.75" customHeight="1" thickBot="1" x14ac:dyDescent="0.3">
      <c r="A3" s="489" t="s">
        <v>56</v>
      </c>
      <c r="B3" s="454"/>
      <c r="C3" s="454"/>
      <c r="D3" s="454"/>
      <c r="E3" s="466"/>
      <c r="F3" s="467"/>
      <c r="G3" s="454"/>
      <c r="H3" s="454"/>
      <c r="I3" s="454"/>
      <c r="J3" s="454"/>
      <c r="K3" s="454"/>
      <c r="L3" s="454"/>
      <c r="M3" s="454"/>
      <c r="N3" s="454"/>
      <c r="O3" s="454"/>
      <c r="P3" s="454"/>
    </row>
    <row r="4" spans="1:16" ht="22.5" customHeight="1" thickBot="1" x14ac:dyDescent="0.4">
      <c r="A4" s="459"/>
      <c r="B4" s="456"/>
      <c r="C4" s="456"/>
      <c r="D4" s="456"/>
      <c r="E4" s="313" t="s">
        <v>0</v>
      </c>
      <c r="F4" s="314">
        <v>7</v>
      </c>
      <c r="G4" s="454"/>
      <c r="H4" s="315" t="s">
        <v>63</v>
      </c>
      <c r="I4" s="175"/>
      <c r="J4" s="454"/>
      <c r="K4" s="550" t="s">
        <v>1</v>
      </c>
      <c r="L4" s="551"/>
      <c r="M4" s="551"/>
      <c r="N4" s="551"/>
      <c r="O4" s="551"/>
      <c r="P4" s="454"/>
    </row>
    <row r="5" spans="1:16" ht="34.5" thickBot="1" x14ac:dyDescent="0.55000000000000004">
      <c r="A5" s="456"/>
      <c r="B5" s="456"/>
      <c r="C5" s="456"/>
      <c r="D5" s="456"/>
      <c r="E5" s="4" t="s">
        <v>2</v>
      </c>
      <c r="F5" s="316">
        <v>5</v>
      </c>
      <c r="G5" s="458"/>
      <c r="H5" s="318">
        <v>25</v>
      </c>
      <c r="I5" s="6" t="s">
        <v>3</v>
      </c>
      <c r="J5" s="471"/>
      <c r="K5" s="319"/>
      <c r="L5" s="552" t="s">
        <v>4</v>
      </c>
      <c r="M5" s="553"/>
      <c r="N5" s="554" t="s">
        <v>5</v>
      </c>
      <c r="O5" s="555"/>
      <c r="P5" s="454"/>
    </row>
    <row r="6" spans="1:16" ht="23.25" x14ac:dyDescent="0.35">
      <c r="A6" s="462"/>
      <c r="B6" s="456"/>
      <c r="C6" s="456"/>
      <c r="D6" s="456"/>
      <c r="E6" s="456"/>
      <c r="F6" s="456"/>
      <c r="G6" s="456"/>
      <c r="H6" s="315"/>
      <c r="I6" s="183"/>
      <c r="J6" s="456"/>
      <c r="K6" s="320"/>
      <c r="L6" s="266" t="s">
        <v>7</v>
      </c>
      <c r="M6" s="321" t="s">
        <v>8</v>
      </c>
      <c r="N6" s="322" t="s">
        <v>7</v>
      </c>
      <c r="O6" s="13" t="s">
        <v>8</v>
      </c>
      <c r="P6" s="454"/>
    </row>
    <row r="7" spans="1:16" x14ac:dyDescent="0.25">
      <c r="A7" s="462"/>
      <c r="B7" s="456"/>
      <c r="C7" s="456"/>
      <c r="D7" s="456"/>
      <c r="E7" s="456"/>
      <c r="F7" s="456"/>
      <c r="G7" s="456"/>
      <c r="H7" s="477"/>
      <c r="I7" s="456"/>
      <c r="J7" s="456"/>
      <c r="K7" s="323"/>
      <c r="L7" s="324" t="s">
        <v>15</v>
      </c>
      <c r="M7" s="325" t="s">
        <v>16</v>
      </c>
      <c r="N7" s="326" t="s">
        <v>17</v>
      </c>
      <c r="O7" s="327" t="s">
        <v>17</v>
      </c>
      <c r="P7" s="454"/>
    </row>
    <row r="8" spans="1:16" hidden="1" x14ac:dyDescent="0.25">
      <c r="A8" s="454"/>
      <c r="B8" s="454"/>
      <c r="C8" s="454"/>
      <c r="D8" s="454"/>
      <c r="E8" s="456"/>
      <c r="F8" s="456"/>
      <c r="G8" s="456"/>
      <c r="H8" s="456"/>
      <c r="I8" s="456"/>
      <c r="J8" s="456"/>
      <c r="K8" s="197" t="s">
        <v>20</v>
      </c>
      <c r="L8" s="29">
        <f>SUM(D38)*F4</f>
        <v>945</v>
      </c>
      <c r="M8" s="30">
        <f>SUM((E38)*F4)/2</f>
        <v>498.75</v>
      </c>
      <c r="N8" s="302">
        <f>SUM((D38)*F4)</f>
        <v>945</v>
      </c>
      <c r="O8" s="32">
        <f>SUM((E38)*F4)/2</f>
        <v>498.75</v>
      </c>
      <c r="P8" s="454"/>
    </row>
    <row r="9" spans="1:16" hidden="1" x14ac:dyDescent="0.25">
      <c r="A9" s="454"/>
      <c r="B9" s="454"/>
      <c r="C9" s="454"/>
      <c r="D9" s="454"/>
      <c r="E9" s="456"/>
      <c r="F9" s="456"/>
      <c r="G9" s="456"/>
      <c r="H9" s="456"/>
      <c r="I9" s="456"/>
      <c r="J9" s="456"/>
      <c r="K9" s="197"/>
      <c r="L9" s="37"/>
      <c r="M9" s="38"/>
      <c r="N9" s="328"/>
      <c r="O9" s="40"/>
      <c r="P9" s="454"/>
    </row>
    <row r="10" spans="1:16" hidden="1" x14ac:dyDescent="0.25">
      <c r="A10" s="459"/>
      <c r="B10" s="456"/>
      <c r="C10" s="456"/>
      <c r="D10" s="456"/>
      <c r="E10" s="456"/>
      <c r="F10" s="456"/>
      <c r="G10" s="456"/>
      <c r="H10" s="456"/>
      <c r="I10" s="456"/>
      <c r="J10" s="456"/>
      <c r="K10" s="197"/>
      <c r="L10" s="37"/>
      <c r="M10" s="38"/>
      <c r="N10" s="329" t="s">
        <v>25</v>
      </c>
      <c r="O10" s="46" t="s">
        <v>25</v>
      </c>
      <c r="P10" s="454"/>
    </row>
    <row r="11" spans="1:16" hidden="1" x14ac:dyDescent="0.25">
      <c r="A11" s="459"/>
      <c r="B11" s="456"/>
      <c r="C11" s="456"/>
      <c r="D11" s="456"/>
      <c r="E11" s="456"/>
      <c r="F11" s="456"/>
      <c r="G11" s="456"/>
      <c r="H11" s="456"/>
      <c r="I11" s="456"/>
      <c r="J11" s="456"/>
      <c r="K11" s="197"/>
      <c r="L11" s="37"/>
      <c r="M11" s="38"/>
      <c r="N11" s="328"/>
      <c r="O11" s="40"/>
      <c r="P11" s="454"/>
    </row>
    <row r="12" spans="1:16" hidden="1" x14ac:dyDescent="0.25">
      <c r="A12" s="459"/>
      <c r="B12" s="456"/>
      <c r="C12" s="456"/>
      <c r="D12" s="456"/>
      <c r="E12" s="456"/>
      <c r="F12" s="456"/>
      <c r="G12" s="456"/>
      <c r="H12" s="456"/>
      <c r="I12" s="456"/>
      <c r="J12" s="456"/>
      <c r="K12" s="197" t="s">
        <v>15</v>
      </c>
      <c r="L12" s="29">
        <f>SUM(E42*F5)</f>
        <v>520</v>
      </c>
      <c r="M12" s="30">
        <f>SUM(E42*F5)</f>
        <v>520</v>
      </c>
      <c r="N12" s="302">
        <v>0</v>
      </c>
      <c r="O12" s="32">
        <v>0</v>
      </c>
      <c r="P12" s="454"/>
    </row>
    <row r="13" spans="1:16" hidden="1" x14ac:dyDescent="0.25">
      <c r="A13" s="459"/>
      <c r="B13" s="456"/>
      <c r="C13" s="456"/>
      <c r="D13" s="456"/>
      <c r="E13" s="456"/>
      <c r="F13" s="456"/>
      <c r="G13" s="456"/>
      <c r="H13" s="456"/>
      <c r="I13" s="456"/>
      <c r="J13" s="456"/>
      <c r="K13" s="197" t="s">
        <v>4</v>
      </c>
      <c r="L13" s="29">
        <f>SUM(E43)</f>
        <v>105</v>
      </c>
      <c r="M13" s="30">
        <f>SUM(E43)</f>
        <v>105</v>
      </c>
      <c r="N13" s="302">
        <v>105</v>
      </c>
      <c r="O13" s="32">
        <v>105</v>
      </c>
      <c r="P13" s="454"/>
    </row>
    <row r="14" spans="1:16" hidden="1" x14ac:dyDescent="0.25">
      <c r="A14" s="459"/>
      <c r="B14" s="456"/>
      <c r="C14" s="456"/>
      <c r="D14" s="456"/>
      <c r="E14" s="456"/>
      <c r="F14" s="456"/>
      <c r="G14" s="456"/>
      <c r="H14" s="456"/>
      <c r="I14" s="456"/>
      <c r="J14" s="456"/>
      <c r="K14" s="197" t="s">
        <v>34</v>
      </c>
      <c r="L14" s="29">
        <f>SUM(E44)</f>
        <v>35</v>
      </c>
      <c r="M14" s="30">
        <f>SUM(E44)</f>
        <v>35</v>
      </c>
      <c r="N14" s="302">
        <f>SUM(E44)</f>
        <v>35</v>
      </c>
      <c r="O14" s="32">
        <f>SUM(L14)</f>
        <v>35</v>
      </c>
      <c r="P14" s="454"/>
    </row>
    <row r="15" spans="1:16" ht="15.75" hidden="1" x14ac:dyDescent="0.25">
      <c r="A15" s="456"/>
      <c r="B15" s="469"/>
      <c r="C15" s="456"/>
      <c r="D15" s="456"/>
      <c r="E15" s="456"/>
      <c r="F15" s="456"/>
      <c r="G15" s="456"/>
      <c r="H15" s="456"/>
      <c r="I15" s="456"/>
      <c r="J15" s="456"/>
      <c r="K15" s="197" t="s">
        <v>37</v>
      </c>
      <c r="L15" s="29">
        <f>SUM(E45)*F4</f>
        <v>119</v>
      </c>
      <c r="M15" s="30">
        <f>SUM(E45)*F4</f>
        <v>119</v>
      </c>
      <c r="N15" s="302">
        <f>SUM(E45)*F4</f>
        <v>119</v>
      </c>
      <c r="O15" s="32">
        <f>SUM(E45)*F4</f>
        <v>119</v>
      </c>
      <c r="P15" s="454"/>
    </row>
    <row r="16" spans="1:16" ht="16.5" hidden="1" thickBot="1" x14ac:dyDescent="0.3">
      <c r="A16" s="456"/>
      <c r="B16" s="469"/>
      <c r="C16" s="456"/>
      <c r="D16" s="456"/>
      <c r="E16" s="456"/>
      <c r="F16" s="456"/>
      <c r="G16" s="456"/>
      <c r="H16" s="456"/>
      <c r="I16" s="456"/>
      <c r="J16" s="456"/>
      <c r="K16" s="330" t="s">
        <v>35</v>
      </c>
      <c r="L16" s="53">
        <f>SUM((L8)*0.25)+(L15*0.15)</f>
        <v>254.1</v>
      </c>
      <c r="M16" s="53">
        <f t="shared" ref="M16:O16" si="0">SUM((M8)*0.25)+(M15*0.15)</f>
        <v>142.53749999999999</v>
      </c>
      <c r="N16" s="331">
        <f t="shared" si="0"/>
        <v>254.1</v>
      </c>
      <c r="O16" s="331">
        <f t="shared" si="0"/>
        <v>142.53749999999999</v>
      </c>
      <c r="P16" s="454"/>
    </row>
    <row r="17" spans="1:16" ht="18.75" x14ac:dyDescent="0.3">
      <c r="A17" s="459"/>
      <c r="B17" s="456"/>
      <c r="C17" s="456"/>
      <c r="D17" s="456"/>
      <c r="E17" s="456"/>
      <c r="F17" s="456"/>
      <c r="G17" s="456"/>
      <c r="H17" s="456"/>
      <c r="I17" s="456"/>
      <c r="J17" s="470"/>
      <c r="K17" s="332" t="s">
        <v>39</v>
      </c>
      <c r="L17" s="333">
        <f>SUM(L8:L16)</f>
        <v>1978.1</v>
      </c>
      <c r="M17" s="334">
        <f>SUM(M8:M16)</f>
        <v>1420.2874999999999</v>
      </c>
      <c r="N17" s="335">
        <f>SUM(N8:N16)</f>
        <v>1458.1</v>
      </c>
      <c r="O17" s="336">
        <f>SUM(O8:O16)</f>
        <v>900.28750000000002</v>
      </c>
      <c r="P17" s="454"/>
    </row>
    <row r="18" spans="1:16" ht="15.75" thickBot="1" x14ac:dyDescent="0.3">
      <c r="A18" s="462"/>
      <c r="B18" s="456"/>
      <c r="C18" s="456"/>
      <c r="D18" s="456"/>
      <c r="E18" s="456"/>
      <c r="F18" s="456"/>
      <c r="G18" s="456"/>
      <c r="H18" s="456"/>
      <c r="I18" s="456"/>
      <c r="J18" s="456"/>
      <c r="K18" s="337" t="s">
        <v>40</v>
      </c>
      <c r="L18" s="267">
        <f>SUM(L8+L12+L13)*H5/100</f>
        <v>392.5</v>
      </c>
      <c r="M18" s="58">
        <f>SUM(M8+M12+M13)*H5/100</f>
        <v>280.9375</v>
      </c>
      <c r="N18" s="338">
        <f>SUM(N8+N12+N13)*H5/100</f>
        <v>262.5</v>
      </c>
      <c r="O18" s="60">
        <f>SUM(O8+O12+O13)*H5/100</f>
        <v>150.9375</v>
      </c>
      <c r="P18" s="454"/>
    </row>
    <row r="19" spans="1:16" ht="15.75" thickBot="1" x14ac:dyDescent="0.3">
      <c r="A19" s="462"/>
      <c r="B19" s="456"/>
      <c r="C19" s="456"/>
      <c r="D19" s="456"/>
      <c r="E19" s="456"/>
      <c r="F19" s="456"/>
      <c r="G19" s="456"/>
      <c r="H19" s="456"/>
      <c r="I19" s="456"/>
      <c r="J19" s="456"/>
      <c r="K19" s="339" t="s">
        <v>41</v>
      </c>
      <c r="L19" s="53">
        <f>SUM(L17-L18)</f>
        <v>1585.6</v>
      </c>
      <c r="M19" s="54">
        <f>SUM(M17-M18)</f>
        <v>1139.3499999999999</v>
      </c>
      <c r="N19" s="331">
        <f>SUM(N17-N18)</f>
        <v>1195.5999999999999</v>
      </c>
      <c r="O19" s="55">
        <f>SUM(O17-O18)</f>
        <v>749.35</v>
      </c>
      <c r="P19" s="454"/>
    </row>
    <row r="20" spans="1:16" ht="21.75" thickBot="1" x14ac:dyDescent="0.4">
      <c r="A20" s="556" t="s">
        <v>42</v>
      </c>
      <c r="B20" s="557"/>
      <c r="C20" s="557"/>
      <c r="D20" s="557"/>
      <c r="E20" s="558"/>
      <c r="F20" s="559" t="s">
        <v>43</v>
      </c>
      <c r="G20" s="560"/>
      <c r="H20" s="560"/>
      <c r="I20" s="560"/>
      <c r="J20" s="561"/>
      <c r="K20" s="562" t="s">
        <v>45</v>
      </c>
      <c r="L20" s="563"/>
      <c r="M20" s="563"/>
      <c r="N20" s="563"/>
      <c r="O20" s="563"/>
      <c r="P20" s="454"/>
    </row>
    <row r="21" spans="1:16" ht="19.5" thickBot="1" x14ac:dyDescent="0.35">
      <c r="A21" s="340"/>
      <c r="B21" s="565" t="s">
        <v>4</v>
      </c>
      <c r="C21" s="566"/>
      <c r="D21" s="567" t="s">
        <v>5</v>
      </c>
      <c r="E21" s="568"/>
      <c r="F21" s="9"/>
      <c r="G21" s="569" t="s">
        <v>4</v>
      </c>
      <c r="H21" s="570"/>
      <c r="I21" s="571" t="s">
        <v>5</v>
      </c>
      <c r="J21" s="572"/>
      <c r="K21" s="341"/>
      <c r="L21" s="543" t="s">
        <v>4</v>
      </c>
      <c r="M21" s="544"/>
      <c r="N21" s="545" t="s">
        <v>5</v>
      </c>
      <c r="O21" s="546"/>
      <c r="P21" s="454"/>
    </row>
    <row r="22" spans="1:16" x14ac:dyDescent="0.25">
      <c r="A22" s="342"/>
      <c r="B22" s="68" t="s">
        <v>7</v>
      </c>
      <c r="C22" s="69" t="s">
        <v>8</v>
      </c>
      <c r="D22" s="70" t="s">
        <v>7</v>
      </c>
      <c r="E22" s="71" t="s">
        <v>8</v>
      </c>
      <c r="F22" s="67"/>
      <c r="G22" s="343" t="s">
        <v>7</v>
      </c>
      <c r="H22" s="73" t="s">
        <v>8</v>
      </c>
      <c r="I22" s="75" t="s">
        <v>7</v>
      </c>
      <c r="J22" s="76" t="s">
        <v>8</v>
      </c>
      <c r="K22" s="344"/>
      <c r="L22" s="345" t="s">
        <v>7</v>
      </c>
      <c r="M22" s="131" t="s">
        <v>8</v>
      </c>
      <c r="N22" s="346" t="s">
        <v>7</v>
      </c>
      <c r="O22" s="133" t="s">
        <v>8</v>
      </c>
      <c r="P22" s="454"/>
    </row>
    <row r="23" spans="1:16" x14ac:dyDescent="0.25">
      <c r="A23" s="342"/>
      <c r="B23" s="68" t="s">
        <v>44</v>
      </c>
      <c r="C23" s="78" t="s">
        <v>16</v>
      </c>
      <c r="D23" s="79" t="s">
        <v>17</v>
      </c>
      <c r="E23" s="80" t="s">
        <v>17</v>
      </c>
      <c r="F23" s="81"/>
      <c r="G23" s="347" t="s">
        <v>15</v>
      </c>
      <c r="H23" s="83" t="s">
        <v>16</v>
      </c>
      <c r="I23" s="84" t="s">
        <v>17</v>
      </c>
      <c r="J23" s="85" t="s">
        <v>17</v>
      </c>
      <c r="K23" s="348"/>
      <c r="L23" s="349" t="s">
        <v>15</v>
      </c>
      <c r="M23" s="136" t="s">
        <v>16</v>
      </c>
      <c r="N23" s="350" t="s">
        <v>17</v>
      </c>
      <c r="O23" s="138" t="s">
        <v>17</v>
      </c>
      <c r="P23" s="454"/>
    </row>
    <row r="24" spans="1:16" hidden="1" x14ac:dyDescent="0.25">
      <c r="A24" s="351" t="s">
        <v>20</v>
      </c>
      <c r="B24" s="87">
        <f>SUM(D39*F4)</f>
        <v>1207.5</v>
      </c>
      <c r="C24" s="88">
        <f>SUM((E39)*F4)/2</f>
        <v>630</v>
      </c>
      <c r="D24" s="89">
        <f>SUM((D39)*F4)</f>
        <v>1207.5</v>
      </c>
      <c r="E24" s="90">
        <f>SUM((E39)*F4)/2</f>
        <v>630</v>
      </c>
      <c r="F24" s="28" t="s">
        <v>20</v>
      </c>
      <c r="G24" s="352">
        <f>SUM((D40)*F4)</f>
        <v>1338.75</v>
      </c>
      <c r="H24" s="92">
        <f>SUM((E40)*F4)/2</f>
        <v>695.625</v>
      </c>
      <c r="I24" s="93">
        <f>SUM(D40*F4)</f>
        <v>1338.75</v>
      </c>
      <c r="J24" s="94">
        <f>SUM((E40)*F4)/2</f>
        <v>695.625</v>
      </c>
      <c r="K24" s="28" t="s">
        <v>20</v>
      </c>
      <c r="L24" s="353">
        <f>SUM((D41)*F4)</f>
        <v>1470</v>
      </c>
      <c r="M24" s="141">
        <f>SUM((E41)*F4)/2</f>
        <v>761.25</v>
      </c>
      <c r="N24" s="354">
        <f>SUM((D41)*F4)</f>
        <v>1470</v>
      </c>
      <c r="O24" s="143">
        <f>SUM((E41)*F4)/2</f>
        <v>761.25</v>
      </c>
      <c r="P24" s="454"/>
    </row>
    <row r="25" spans="1:16" hidden="1" x14ac:dyDescent="0.25">
      <c r="A25" s="351"/>
      <c r="B25" s="97"/>
      <c r="C25" s="98"/>
      <c r="D25" s="99"/>
      <c r="E25" s="100"/>
      <c r="F25" s="28"/>
      <c r="G25" s="355"/>
      <c r="H25" s="102"/>
      <c r="I25" s="103"/>
      <c r="J25" s="104"/>
      <c r="K25" s="28"/>
      <c r="L25" s="356"/>
      <c r="M25" s="145"/>
      <c r="N25" s="357"/>
      <c r="O25" s="147"/>
      <c r="P25" s="454"/>
    </row>
    <row r="26" spans="1:16" hidden="1" x14ac:dyDescent="0.25">
      <c r="A26" s="351"/>
      <c r="B26" s="68"/>
      <c r="C26" s="98"/>
      <c r="D26" s="105"/>
      <c r="E26" s="106"/>
      <c r="F26" s="28"/>
      <c r="G26" s="358"/>
      <c r="H26" s="108"/>
      <c r="I26" s="109"/>
      <c r="J26" s="110"/>
      <c r="K26" s="28"/>
      <c r="L26" s="356"/>
      <c r="M26" s="148"/>
      <c r="N26" s="357"/>
      <c r="O26" s="149"/>
      <c r="P26" s="454"/>
    </row>
    <row r="27" spans="1:16" hidden="1" x14ac:dyDescent="0.25">
      <c r="A27" s="351"/>
      <c r="B27" s="97"/>
      <c r="C27" s="98"/>
      <c r="D27" s="99"/>
      <c r="E27" s="100"/>
      <c r="F27" s="28"/>
      <c r="G27" s="355"/>
      <c r="H27" s="102"/>
      <c r="I27" s="103"/>
      <c r="J27" s="104"/>
      <c r="K27" s="28"/>
      <c r="L27" s="356"/>
      <c r="M27" s="145"/>
      <c r="N27" s="357"/>
      <c r="O27" s="147"/>
      <c r="P27" s="454"/>
    </row>
    <row r="28" spans="1:16" hidden="1" x14ac:dyDescent="0.25">
      <c r="A28" s="351" t="s">
        <v>15</v>
      </c>
      <c r="B28" s="409">
        <f>SUM(E42*F5)</f>
        <v>520</v>
      </c>
      <c r="C28" s="88">
        <f>SUM(E42*F5)</f>
        <v>520</v>
      </c>
      <c r="D28" s="89">
        <v>0</v>
      </c>
      <c r="E28" s="90">
        <v>0</v>
      </c>
      <c r="F28" s="28" t="s">
        <v>15</v>
      </c>
      <c r="G28" s="352">
        <f>SUM(E42*F5)</f>
        <v>520</v>
      </c>
      <c r="H28" s="92">
        <f>SUM(E42*F5)</f>
        <v>520</v>
      </c>
      <c r="I28" s="93">
        <v>0</v>
      </c>
      <c r="J28" s="94">
        <v>0</v>
      </c>
      <c r="K28" s="28" t="s">
        <v>15</v>
      </c>
      <c r="L28" s="353">
        <f>SUM(E42*F5)</f>
        <v>520</v>
      </c>
      <c r="M28" s="141">
        <f>SUM(E42*F5)</f>
        <v>520</v>
      </c>
      <c r="N28" s="354">
        <v>0</v>
      </c>
      <c r="O28" s="143">
        <v>0</v>
      </c>
      <c r="P28" s="454"/>
    </row>
    <row r="29" spans="1:16" hidden="1" x14ac:dyDescent="0.25">
      <c r="A29" s="351" t="s">
        <v>4</v>
      </c>
      <c r="B29" s="409">
        <f>SUM(E43)</f>
        <v>105</v>
      </c>
      <c r="C29" s="88">
        <f>SUM(E43)</f>
        <v>105</v>
      </c>
      <c r="D29" s="89">
        <v>105</v>
      </c>
      <c r="E29" s="90">
        <v>105</v>
      </c>
      <c r="F29" s="28" t="s">
        <v>4</v>
      </c>
      <c r="G29" s="352">
        <f>SUM(E43)</f>
        <v>105</v>
      </c>
      <c r="H29" s="92">
        <f>SUM(E43)</f>
        <v>105</v>
      </c>
      <c r="I29" s="93">
        <v>105</v>
      </c>
      <c r="J29" s="94">
        <v>105</v>
      </c>
      <c r="K29" s="28" t="s">
        <v>4</v>
      </c>
      <c r="L29" s="353">
        <f>SUM(E43)</f>
        <v>105</v>
      </c>
      <c r="M29" s="141">
        <f>SUM(E43)</f>
        <v>105</v>
      </c>
      <c r="N29" s="354">
        <v>105</v>
      </c>
      <c r="O29" s="143">
        <v>105</v>
      </c>
      <c r="P29" s="454"/>
    </row>
    <row r="30" spans="1:16" hidden="1" x14ac:dyDescent="0.25">
      <c r="A30" s="351" t="s">
        <v>34</v>
      </c>
      <c r="B30" s="409">
        <f>SUM(E44)</f>
        <v>35</v>
      </c>
      <c r="C30" s="88">
        <f>SUM(E44)</f>
        <v>35</v>
      </c>
      <c r="D30" s="89">
        <f>SUM(E44)</f>
        <v>35</v>
      </c>
      <c r="E30" s="90">
        <f>SUM(B30)</f>
        <v>35</v>
      </c>
      <c r="F30" s="28" t="s">
        <v>34</v>
      </c>
      <c r="G30" s="352">
        <f>SUM(E44)</f>
        <v>35</v>
      </c>
      <c r="H30" s="92">
        <f>SUM(E44)</f>
        <v>35</v>
      </c>
      <c r="I30" s="93">
        <f>SUM(E44)</f>
        <v>35</v>
      </c>
      <c r="J30" s="94">
        <f>SUM(E44)</f>
        <v>35</v>
      </c>
      <c r="K30" s="28" t="s">
        <v>34</v>
      </c>
      <c r="L30" s="353">
        <f>SUM(E44)</f>
        <v>35</v>
      </c>
      <c r="M30" s="141">
        <f>SUM(E44)</f>
        <v>35</v>
      </c>
      <c r="N30" s="354">
        <f>SUM(E44)</f>
        <v>35</v>
      </c>
      <c r="O30" s="143">
        <f>SUM(E44)</f>
        <v>35</v>
      </c>
      <c r="P30" s="454"/>
    </row>
    <row r="31" spans="1:16" hidden="1" x14ac:dyDescent="0.25">
      <c r="A31" s="351" t="s">
        <v>37</v>
      </c>
      <c r="B31" s="409">
        <f>SUM(E45)*F4</f>
        <v>119</v>
      </c>
      <c r="C31" s="88">
        <f>SUM(E45)*F4</f>
        <v>119</v>
      </c>
      <c r="D31" s="89">
        <f>SUM(E45)*F4</f>
        <v>119</v>
      </c>
      <c r="E31" s="90">
        <f>SUM(E45)*F4</f>
        <v>119</v>
      </c>
      <c r="F31" s="28" t="s">
        <v>37</v>
      </c>
      <c r="G31" s="352">
        <f>SUM(E45)*F4</f>
        <v>119</v>
      </c>
      <c r="H31" s="92">
        <f>SUM(E45)*F4</f>
        <v>119</v>
      </c>
      <c r="I31" s="116">
        <f>SUM(E45)*F4</f>
        <v>119</v>
      </c>
      <c r="J31" s="94">
        <f>SUM(E45)*F4</f>
        <v>119</v>
      </c>
      <c r="K31" s="28" t="s">
        <v>46</v>
      </c>
      <c r="L31" s="353">
        <f>SUM(E45)*F4</f>
        <v>119</v>
      </c>
      <c r="M31" s="141">
        <f>SUM(E45)*F4</f>
        <v>119</v>
      </c>
      <c r="N31" s="354">
        <f>SUM(E45)*F4</f>
        <v>119</v>
      </c>
      <c r="O31" s="143">
        <f>SUM(E45)*F4</f>
        <v>119</v>
      </c>
      <c r="P31" s="454"/>
    </row>
    <row r="32" spans="1:16" hidden="1" x14ac:dyDescent="0.25">
      <c r="A32" s="351" t="s">
        <v>35</v>
      </c>
      <c r="B32" s="410">
        <f>SUM((B24)*0.25)+(B31*0.15)</f>
        <v>319.72500000000002</v>
      </c>
      <c r="C32" s="410">
        <f t="shared" ref="C32:E32" si="1">SUM((C24)*0.25)+(C31*0.15)</f>
        <v>175.35</v>
      </c>
      <c r="D32" s="411">
        <f t="shared" si="1"/>
        <v>319.72500000000002</v>
      </c>
      <c r="E32" s="411">
        <f t="shared" si="1"/>
        <v>175.35</v>
      </c>
      <c r="F32" s="28" t="s">
        <v>35</v>
      </c>
      <c r="G32" s="359">
        <f>SUM((G24)*0.25)+(G31*0.15)</f>
        <v>352.53750000000002</v>
      </c>
      <c r="H32" s="359">
        <f t="shared" ref="H32:J32" si="2">SUM((H24)*0.25)+(H31*0.15)</f>
        <v>191.75624999999999</v>
      </c>
      <c r="I32" s="360">
        <f t="shared" si="2"/>
        <v>352.53750000000002</v>
      </c>
      <c r="J32" s="360">
        <f t="shared" si="2"/>
        <v>191.75624999999999</v>
      </c>
      <c r="K32" s="28" t="s">
        <v>35</v>
      </c>
      <c r="L32" s="361">
        <f>SUM((L24)*0.25)+(L31*0.15)</f>
        <v>385.35</v>
      </c>
      <c r="M32" s="361">
        <f t="shared" ref="M32:O32" si="3">SUM((M24)*0.25)+(M31*0.15)</f>
        <v>208.16249999999999</v>
      </c>
      <c r="N32" s="362">
        <f t="shared" si="3"/>
        <v>385.35</v>
      </c>
      <c r="O32" s="362">
        <f t="shared" si="3"/>
        <v>208.16249999999999</v>
      </c>
      <c r="P32" s="454"/>
    </row>
    <row r="33" spans="1:16" ht="18.75" x14ac:dyDescent="0.3">
      <c r="A33" s="363" t="s">
        <v>39</v>
      </c>
      <c r="B33" s="364">
        <f t="shared" ref="B33:E33" si="4">SUM(B24:B32)</f>
        <v>2306.2249999999999</v>
      </c>
      <c r="C33" s="365">
        <f t="shared" si="4"/>
        <v>1584.35</v>
      </c>
      <c r="D33" s="366">
        <f t="shared" si="4"/>
        <v>1786.2249999999999</v>
      </c>
      <c r="E33" s="367">
        <f t="shared" si="4"/>
        <v>1064.3499999999999</v>
      </c>
      <c r="F33" s="368" t="s">
        <v>39</v>
      </c>
      <c r="G33" s="369">
        <f>SUM(G24:G32)</f>
        <v>2470.2874999999999</v>
      </c>
      <c r="H33" s="122">
        <f>SUM(H24:H32)</f>
        <v>1666.3812499999999</v>
      </c>
      <c r="I33" s="370">
        <f>SUM(I24:I32)</f>
        <v>1950.2874999999999</v>
      </c>
      <c r="J33" s="371">
        <f>SUM(J24:J32)</f>
        <v>1146.3812499999999</v>
      </c>
      <c r="K33" s="368" t="s">
        <v>39</v>
      </c>
      <c r="L33" s="372">
        <f t="shared" ref="L33:O33" si="5">SUM(L24:L32)</f>
        <v>2634.35</v>
      </c>
      <c r="M33" s="373">
        <f t="shared" si="5"/>
        <v>1748.4124999999999</v>
      </c>
      <c r="N33" s="374">
        <f t="shared" si="5"/>
        <v>2114.35</v>
      </c>
      <c r="O33" s="375">
        <f t="shared" si="5"/>
        <v>1228.4124999999999</v>
      </c>
      <c r="P33" s="454"/>
    </row>
    <row r="34" spans="1:16" ht="15.75" thickBot="1" x14ac:dyDescent="0.3">
      <c r="A34" s="376" t="s">
        <v>40</v>
      </c>
      <c r="B34" s="377">
        <f>SUM(B24+B28+B29)*H5/100</f>
        <v>458.125</v>
      </c>
      <c r="C34" s="378">
        <f>SUM(C24+C28+C29)*H5/100</f>
        <v>313.75</v>
      </c>
      <c r="D34" s="379">
        <f>SUM(D24+D28+D29)*H5/100</f>
        <v>328.125</v>
      </c>
      <c r="E34" s="380">
        <f>SUM(E24+E28+E29)*H5/100</f>
        <v>183.75</v>
      </c>
      <c r="F34" s="28" t="s">
        <v>40</v>
      </c>
      <c r="G34" s="381">
        <f>SUM(G24+G28+G29)*H5/100</f>
        <v>490.9375</v>
      </c>
      <c r="H34" s="382">
        <f>SUM(H24+H28+H29)*H5/100</f>
        <v>330.15625</v>
      </c>
      <c r="I34" s="383">
        <f>SUM(I24+I28+I29)*H5/100</f>
        <v>360.9375</v>
      </c>
      <c r="J34" s="384">
        <f>SUM(J24+J28+J29)*H5/100</f>
        <v>200.15625</v>
      </c>
      <c r="K34" s="124" t="s">
        <v>40</v>
      </c>
      <c r="L34" s="385">
        <f>SUM(L24+L28+L29)*H5/100</f>
        <v>523.75</v>
      </c>
      <c r="M34" s="386">
        <f>SUM(M24+M28+M29)*H5/100</f>
        <v>346.5625</v>
      </c>
      <c r="N34" s="387">
        <f>SUM(N24+N28+N29)*H5/100</f>
        <v>393.75</v>
      </c>
      <c r="O34" s="388">
        <f>SUM(O24+O28+O29)*H5/100</f>
        <v>216.5625</v>
      </c>
      <c r="P34" s="454"/>
    </row>
    <row r="35" spans="1:16" ht="15.75" thickBot="1" x14ac:dyDescent="0.3">
      <c r="A35" s="363" t="s">
        <v>41</v>
      </c>
      <c r="B35" s="389">
        <f t="shared" ref="B35:E35" si="6">SUM(B33-B34)</f>
        <v>1848.1</v>
      </c>
      <c r="C35" s="390">
        <f t="shared" si="6"/>
        <v>1270.5999999999999</v>
      </c>
      <c r="D35" s="391">
        <f t="shared" si="6"/>
        <v>1458.1</v>
      </c>
      <c r="E35" s="392">
        <f t="shared" si="6"/>
        <v>880.59999999999991</v>
      </c>
      <c r="F35" s="393" t="s">
        <v>41</v>
      </c>
      <c r="G35" s="394">
        <f>SUM(G33-G34)</f>
        <v>1979.35</v>
      </c>
      <c r="H35" s="127">
        <f>SUM(H33-H34)</f>
        <v>1336.2249999999999</v>
      </c>
      <c r="I35" s="395">
        <f>SUM(I33-I34)</f>
        <v>1589.35</v>
      </c>
      <c r="J35" s="94">
        <f>SUM(J33-J34)</f>
        <v>946.22499999999991</v>
      </c>
      <c r="K35" s="393" t="s">
        <v>41</v>
      </c>
      <c r="L35" s="396">
        <f t="shared" ref="L35:O35" si="7">SUM(L33-L34)</f>
        <v>2110.6</v>
      </c>
      <c r="M35" s="397">
        <f t="shared" si="7"/>
        <v>1401.85</v>
      </c>
      <c r="N35" s="398">
        <f t="shared" si="7"/>
        <v>1720.6</v>
      </c>
      <c r="O35" s="388">
        <f t="shared" si="7"/>
        <v>1011.8499999999999</v>
      </c>
      <c r="P35" s="454"/>
    </row>
    <row r="36" spans="1:16" x14ac:dyDescent="0.25">
      <c r="A36" s="456"/>
      <c r="B36" s="457"/>
      <c r="C36" s="456"/>
      <c r="D36" s="456"/>
      <c r="E36" s="456"/>
      <c r="F36" s="456"/>
      <c r="G36" s="456"/>
      <c r="H36" s="456"/>
      <c r="I36" s="457"/>
      <c r="J36" s="454"/>
      <c r="K36" s="454"/>
      <c r="L36" s="454"/>
      <c r="M36" s="454"/>
      <c r="N36" s="454"/>
      <c r="O36" s="454"/>
      <c r="P36" s="454"/>
    </row>
    <row r="37" spans="1:16" hidden="1" x14ac:dyDescent="0.25">
      <c r="A37" s="456"/>
      <c r="B37" s="517"/>
      <c r="C37" s="518" t="s">
        <v>6</v>
      </c>
      <c r="D37" s="519" t="s">
        <v>7</v>
      </c>
      <c r="E37" s="519" t="s">
        <v>8</v>
      </c>
      <c r="F37" s="519" t="s">
        <v>9</v>
      </c>
      <c r="G37" s="519" t="s">
        <v>10</v>
      </c>
      <c r="H37" s="456"/>
      <c r="I37" s="573" t="s">
        <v>14</v>
      </c>
      <c r="J37" s="573"/>
      <c r="K37" s="459"/>
      <c r="L37" s="456"/>
      <c r="M37" s="456"/>
      <c r="N37" s="454"/>
      <c r="O37" s="454"/>
      <c r="P37" s="454"/>
    </row>
    <row r="38" spans="1:16" hidden="1" x14ac:dyDescent="0.25">
      <c r="A38" s="456"/>
      <c r="B38" s="520" t="s">
        <v>12</v>
      </c>
      <c r="C38" s="521" t="s">
        <v>13</v>
      </c>
      <c r="D38" s="522">
        <f>SUM(0.75*180)</f>
        <v>135</v>
      </c>
      <c r="E38" s="523">
        <f>SUM(190*0.75)</f>
        <v>142.5</v>
      </c>
      <c r="F38" s="523">
        <f>SUM(200*0.75)</f>
        <v>150</v>
      </c>
      <c r="G38" s="524">
        <f>SUM(210*0.75)</f>
        <v>157.5</v>
      </c>
      <c r="H38" s="456"/>
      <c r="I38" s="460" t="s">
        <v>19</v>
      </c>
      <c r="J38" s="461">
        <v>25</v>
      </c>
      <c r="K38" s="459"/>
      <c r="L38" s="456"/>
      <c r="M38" s="456"/>
      <c r="N38" s="454"/>
      <c r="O38" s="454"/>
      <c r="P38" s="454"/>
    </row>
    <row r="39" spans="1:16" hidden="1" x14ac:dyDescent="0.25">
      <c r="A39" s="456"/>
      <c r="B39" s="520" t="s">
        <v>12</v>
      </c>
      <c r="C39" s="521" t="s">
        <v>18</v>
      </c>
      <c r="D39" s="522">
        <f>SUM(230*0.75)</f>
        <v>172.5</v>
      </c>
      <c r="E39" s="523">
        <f>SUM(240*0.75)</f>
        <v>180</v>
      </c>
      <c r="F39" s="523">
        <f>SUM(250*0.75)</f>
        <v>187.5</v>
      </c>
      <c r="G39" s="524">
        <f>SUM(260*0.75)</f>
        <v>195</v>
      </c>
      <c r="H39" s="456"/>
      <c r="I39" s="460"/>
      <c r="J39" s="461">
        <v>0</v>
      </c>
      <c r="K39" s="456"/>
      <c r="L39" s="456"/>
      <c r="M39" s="456"/>
      <c r="N39" s="454"/>
      <c r="O39" s="454"/>
      <c r="P39" s="454"/>
    </row>
    <row r="40" spans="1:16" hidden="1" x14ac:dyDescent="0.25">
      <c r="A40" s="456"/>
      <c r="B40" s="520" t="s">
        <v>12</v>
      </c>
      <c r="C40" s="521" t="s">
        <v>21</v>
      </c>
      <c r="D40" s="522">
        <f>SUM(255*0.75)</f>
        <v>191.25</v>
      </c>
      <c r="E40" s="523">
        <f>SUM(265*0.75)</f>
        <v>198.75</v>
      </c>
      <c r="F40" s="523">
        <f>SUM(275*0.75)</f>
        <v>206.25</v>
      </c>
      <c r="G40" s="524">
        <f>SUM(285*0.75)</f>
        <v>213.75</v>
      </c>
      <c r="H40" s="456"/>
      <c r="I40" s="460" t="s">
        <v>24</v>
      </c>
      <c r="J40" s="461">
        <v>0</v>
      </c>
      <c r="K40" s="462"/>
      <c r="L40" s="456"/>
      <c r="M40" s="456"/>
      <c r="N40" s="454"/>
      <c r="O40" s="454"/>
      <c r="P40" s="454"/>
    </row>
    <row r="41" spans="1:16" hidden="1" x14ac:dyDescent="0.25">
      <c r="A41" s="456"/>
      <c r="B41" s="520" t="s">
        <v>12</v>
      </c>
      <c r="C41" s="521" t="s">
        <v>23</v>
      </c>
      <c r="D41" s="522">
        <f>SUM(280*0.75)</f>
        <v>210</v>
      </c>
      <c r="E41" s="523">
        <f>SUM(290*0.75)</f>
        <v>217.5</v>
      </c>
      <c r="F41" s="523">
        <f>SUM(300*0.75)</f>
        <v>225</v>
      </c>
      <c r="G41" s="524">
        <f>SUM(310*0.75)</f>
        <v>232.5</v>
      </c>
      <c r="H41" s="456"/>
      <c r="I41" s="463" t="s">
        <v>57</v>
      </c>
      <c r="J41" s="461">
        <f>SUM(2*10)</f>
        <v>20</v>
      </c>
      <c r="K41" s="462"/>
      <c r="L41" s="456"/>
      <c r="M41" s="456"/>
      <c r="N41" s="454"/>
      <c r="O41" s="454"/>
      <c r="P41" s="454"/>
    </row>
    <row r="42" spans="1:16" hidden="1" x14ac:dyDescent="0.25">
      <c r="A42" s="456"/>
      <c r="B42" s="525" t="s">
        <v>12</v>
      </c>
      <c r="C42" s="526" t="s">
        <v>26</v>
      </c>
      <c r="D42" s="526"/>
      <c r="E42" s="527">
        <v>104</v>
      </c>
      <c r="F42" s="528" t="s">
        <v>27</v>
      </c>
      <c r="G42" s="454"/>
      <c r="H42" s="456"/>
      <c r="I42" s="464" t="s">
        <v>58</v>
      </c>
      <c r="J42" s="461">
        <v>0</v>
      </c>
      <c r="K42" s="454"/>
      <c r="L42" s="456"/>
      <c r="M42" s="456"/>
      <c r="N42" s="454"/>
      <c r="O42" s="454"/>
      <c r="P42" s="454"/>
    </row>
    <row r="43" spans="1:16" hidden="1" x14ac:dyDescent="0.25">
      <c r="A43" s="456"/>
      <c r="B43" s="529"/>
      <c r="C43" s="521" t="s">
        <v>71</v>
      </c>
      <c r="D43" s="521"/>
      <c r="E43" s="530">
        <v>105</v>
      </c>
      <c r="F43" s="531"/>
      <c r="G43" s="454"/>
      <c r="H43" s="456"/>
      <c r="I43" s="464" t="s">
        <v>59</v>
      </c>
      <c r="J43" s="461">
        <v>10</v>
      </c>
      <c r="K43" s="454"/>
      <c r="L43" s="456"/>
      <c r="M43" s="456"/>
      <c r="N43" s="454"/>
      <c r="O43" s="454"/>
      <c r="P43" s="454"/>
    </row>
    <row r="44" spans="1:16" hidden="1" x14ac:dyDescent="0.25">
      <c r="A44" s="456"/>
      <c r="B44" s="536" t="s">
        <v>28</v>
      </c>
      <c r="C44" s="521" t="s">
        <v>14</v>
      </c>
      <c r="D44" s="521"/>
      <c r="E44" s="532">
        <v>35</v>
      </c>
      <c r="F44" s="531" t="s">
        <v>29</v>
      </c>
      <c r="G44" s="454"/>
      <c r="H44" s="456"/>
      <c r="I44" s="464" t="s">
        <v>64</v>
      </c>
      <c r="J44" s="465">
        <v>10</v>
      </c>
      <c r="K44" s="454"/>
      <c r="L44" s="454"/>
      <c r="M44" s="454"/>
      <c r="N44" s="454"/>
      <c r="O44" s="454"/>
      <c r="P44" s="454"/>
    </row>
    <row r="45" spans="1:16" hidden="1" x14ac:dyDescent="0.25">
      <c r="A45" s="456"/>
      <c r="B45" s="536" t="s">
        <v>28</v>
      </c>
      <c r="C45" s="521" t="s">
        <v>31</v>
      </c>
      <c r="D45" s="521"/>
      <c r="E45" s="530">
        <v>17</v>
      </c>
      <c r="F45" s="531" t="s">
        <v>32</v>
      </c>
      <c r="G45" s="454"/>
      <c r="H45" s="456"/>
      <c r="I45" s="464" t="s">
        <v>65</v>
      </c>
      <c r="J45" s="465">
        <v>0</v>
      </c>
      <c r="K45" s="454"/>
      <c r="L45" s="454"/>
      <c r="M45" s="454"/>
      <c r="N45" s="454"/>
      <c r="O45" s="454"/>
      <c r="P45" s="454"/>
    </row>
    <row r="46" spans="1:16" hidden="1" x14ac:dyDescent="0.25">
      <c r="A46" s="456"/>
      <c r="B46" s="536" t="s">
        <v>28</v>
      </c>
      <c r="C46" s="533" t="s">
        <v>35</v>
      </c>
      <c r="D46" s="534" t="s">
        <v>73</v>
      </c>
      <c r="E46" s="534"/>
      <c r="F46" s="535"/>
      <c r="G46" s="454"/>
      <c r="H46" s="456"/>
      <c r="I46" s="464" t="s">
        <v>66</v>
      </c>
      <c r="J46" s="465">
        <v>75</v>
      </c>
      <c r="K46" s="454"/>
      <c r="L46" s="454"/>
      <c r="M46" s="454"/>
      <c r="N46" s="454"/>
      <c r="O46" s="454"/>
      <c r="P46" s="454"/>
    </row>
    <row r="47" spans="1:16" x14ac:dyDescent="0.25">
      <c r="A47" s="454"/>
      <c r="B47" s="454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54"/>
    </row>
    <row r="48" spans="1:16" ht="21" x14ac:dyDescent="0.35">
      <c r="A48" s="478" t="s">
        <v>74</v>
      </c>
      <c r="B48" s="479"/>
      <c r="C48" s="479"/>
      <c r="D48" s="454"/>
      <c r="E48" s="454"/>
      <c r="F48" s="454"/>
      <c r="G48" s="454"/>
      <c r="H48" s="454"/>
      <c r="I48" s="454"/>
      <c r="J48" s="454"/>
      <c r="K48" s="454"/>
      <c r="L48" s="454"/>
      <c r="M48" s="454"/>
      <c r="N48" s="454"/>
      <c r="O48" s="454"/>
      <c r="P48" s="454"/>
    </row>
    <row r="49" spans="1:16" ht="21" x14ac:dyDescent="0.35">
      <c r="A49" s="478"/>
      <c r="B49" s="479"/>
      <c r="C49" s="479"/>
      <c r="D49" s="454"/>
      <c r="E49" s="454"/>
      <c r="F49" s="454"/>
      <c r="G49" s="454"/>
      <c r="H49" s="454"/>
      <c r="I49" s="454"/>
      <c r="J49" s="454"/>
      <c r="K49" s="454"/>
      <c r="L49" s="454"/>
      <c r="M49" s="454"/>
      <c r="N49" s="454"/>
      <c r="O49" s="454"/>
      <c r="P49" s="454"/>
    </row>
    <row r="50" spans="1:16" ht="21" x14ac:dyDescent="0.35">
      <c r="A50" s="479"/>
      <c r="B50" s="479"/>
      <c r="C50" s="479"/>
      <c r="D50" s="454"/>
      <c r="E50" s="454"/>
      <c r="F50" s="454"/>
      <c r="G50" s="454"/>
      <c r="H50" s="454"/>
      <c r="I50" s="454"/>
      <c r="J50" s="454"/>
      <c r="K50" s="454"/>
      <c r="L50" s="454"/>
      <c r="M50" s="454"/>
      <c r="N50" s="454"/>
      <c r="O50" s="454"/>
      <c r="P50" s="454"/>
    </row>
    <row r="51" spans="1:16" ht="19.5" x14ac:dyDescent="0.25">
      <c r="A51" s="455"/>
      <c r="B51" s="454"/>
      <c r="C51" s="454"/>
      <c r="D51" s="454"/>
      <c r="E51" s="454"/>
      <c r="F51" s="454"/>
      <c r="G51" s="454"/>
      <c r="H51" s="454"/>
      <c r="I51" s="454"/>
      <c r="J51" s="454"/>
      <c r="K51" s="454"/>
      <c r="L51" s="454"/>
      <c r="M51" s="454"/>
      <c r="N51" s="454"/>
      <c r="O51" s="454"/>
      <c r="P51" s="454"/>
    </row>
    <row r="52" spans="1:16" x14ac:dyDescent="0.25">
      <c r="A52" s="454"/>
      <c r="B52" s="454"/>
      <c r="C52" s="454"/>
      <c r="D52" s="454"/>
      <c r="E52" s="454"/>
      <c r="F52" s="454"/>
      <c r="G52" s="454"/>
      <c r="H52" s="454"/>
      <c r="I52" s="454"/>
      <c r="J52" s="454"/>
      <c r="K52" s="454"/>
      <c r="L52" s="454"/>
      <c r="M52" s="454"/>
      <c r="N52" s="454"/>
      <c r="O52" s="454"/>
      <c r="P52" s="454"/>
    </row>
    <row r="53" spans="1:16" x14ac:dyDescent="0.25">
      <c r="A53" s="454"/>
      <c r="B53" s="454"/>
      <c r="C53" s="454"/>
      <c r="D53" s="454"/>
      <c r="E53" s="454"/>
      <c r="F53" s="454"/>
      <c r="G53" s="454"/>
      <c r="H53" s="454"/>
      <c r="I53" s="454"/>
      <c r="J53" s="454"/>
      <c r="K53" s="454"/>
      <c r="L53" s="454"/>
      <c r="M53" s="454"/>
      <c r="N53" s="454"/>
      <c r="O53" s="454"/>
      <c r="P53" s="454"/>
    </row>
    <row r="54" spans="1:16" x14ac:dyDescent="0.25">
      <c r="A54" s="454"/>
      <c r="B54" s="454"/>
      <c r="C54" s="454"/>
      <c r="D54" s="454"/>
      <c r="E54" s="454"/>
      <c r="F54" s="454"/>
      <c r="G54" s="454"/>
      <c r="H54" s="454"/>
      <c r="I54" s="454"/>
      <c r="J54" s="454"/>
      <c r="K54" s="454"/>
      <c r="L54" s="454"/>
      <c r="M54" s="454"/>
      <c r="N54" s="454"/>
      <c r="O54" s="454"/>
      <c r="P54" s="454"/>
    </row>
    <row r="55" spans="1:16" x14ac:dyDescent="0.25">
      <c r="A55" s="454"/>
      <c r="B55" s="454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54"/>
    </row>
  </sheetData>
  <mergeCells count="14">
    <mergeCell ref="I37:J37"/>
    <mergeCell ref="B21:C21"/>
    <mergeCell ref="D21:E21"/>
    <mergeCell ref="G21:H21"/>
    <mergeCell ref="I21:J21"/>
    <mergeCell ref="L21:M21"/>
    <mergeCell ref="N21:O21"/>
    <mergeCell ref="B1:E1"/>
    <mergeCell ref="K4:O4"/>
    <mergeCell ref="L5:M5"/>
    <mergeCell ref="N5:O5"/>
    <mergeCell ref="A20:E20"/>
    <mergeCell ref="F20:J20"/>
    <mergeCell ref="K20:O20"/>
  </mergeCells>
  <conditionalFormatting sqref="H5">
    <cfRule type="cellIs" dxfId="19" priority="4" operator="greaterThan">
      <formula>20</formula>
    </cfRule>
  </conditionalFormatting>
  <conditionalFormatting sqref="F4">
    <cfRule type="cellIs" dxfId="18" priority="2" operator="lessThan">
      <formula>5</formula>
    </cfRule>
    <cfRule type="cellIs" dxfId="17" priority="3" operator="lessThan">
      <formula>5</formula>
    </cfRule>
  </conditionalFormatting>
  <conditionalFormatting sqref="F5">
    <cfRule type="cellIs" dxfId="16" priority="1" operator="lessThan">
      <formula>4</formula>
    </cfRule>
  </conditionalFormatting>
  <pageMargins left="0.75" right="0.75" top="1" bottom="1" header="0.5" footer="0.5"/>
  <pageSetup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P55"/>
  <sheetViews>
    <sheetView zoomScaleNormal="100" workbookViewId="0">
      <selection activeCell="H5" sqref="H5"/>
    </sheetView>
  </sheetViews>
  <sheetFormatPr defaultColWidth="11.42578125" defaultRowHeight="15" x14ac:dyDescent="0.25"/>
  <cols>
    <col min="2" max="2" width="15.42578125" customWidth="1"/>
    <col min="3" max="3" width="17" customWidth="1"/>
    <col min="4" max="4" width="16.140625" customWidth="1"/>
    <col min="5" max="5" width="19.140625" customWidth="1"/>
    <col min="6" max="6" width="18.42578125" customWidth="1"/>
    <col min="7" max="7" width="16.28515625" customWidth="1"/>
    <col min="8" max="8" width="15.28515625" customWidth="1"/>
    <col min="9" max="9" width="16.7109375" customWidth="1"/>
    <col min="10" max="10" width="15.42578125" customWidth="1"/>
    <col min="11" max="11" width="15" customWidth="1"/>
    <col min="12" max="12" width="15.42578125" customWidth="1"/>
    <col min="13" max="13" width="17.42578125" customWidth="1"/>
    <col min="14" max="14" width="15.5703125" customWidth="1"/>
    <col min="15" max="15" width="14.5703125" customWidth="1"/>
  </cols>
  <sheetData>
    <row r="1" spans="1:16" ht="33.950000000000003" customHeight="1" thickBot="1" x14ac:dyDescent="0.55000000000000004">
      <c r="A1" s="303"/>
      <c r="B1" s="547" t="s">
        <v>62</v>
      </c>
      <c r="C1" s="548"/>
      <c r="D1" s="548"/>
      <c r="E1" s="549"/>
      <c r="F1" s="486" t="s">
        <v>78</v>
      </c>
      <c r="G1" s="303"/>
      <c r="H1" s="303"/>
      <c r="I1" s="303"/>
      <c r="J1" s="303"/>
      <c r="K1" s="303"/>
      <c r="L1" s="487"/>
      <c r="M1" s="487"/>
      <c r="N1" s="487"/>
      <c r="O1" s="487"/>
      <c r="P1" s="303"/>
    </row>
    <row r="2" spans="1:16" ht="32.1" customHeight="1" x14ac:dyDescent="0.4">
      <c r="A2" s="482" t="s">
        <v>61</v>
      </c>
      <c r="B2" s="305"/>
      <c r="C2" s="305"/>
      <c r="D2" s="303"/>
      <c r="E2" s="304"/>
      <c r="F2" s="429"/>
      <c r="G2" s="303"/>
      <c r="H2" s="303"/>
      <c r="I2" s="303"/>
      <c r="J2" s="303"/>
      <c r="K2" s="303"/>
      <c r="L2" s="430"/>
      <c r="M2" s="430"/>
      <c r="N2" s="430"/>
      <c r="O2" s="430"/>
      <c r="P2" s="303"/>
    </row>
    <row r="3" spans="1:16" ht="18.75" customHeight="1" thickBot="1" x14ac:dyDescent="0.3">
      <c r="A3" s="488" t="s">
        <v>56</v>
      </c>
      <c r="B3" s="303"/>
      <c r="C3" s="303"/>
      <c r="D3" s="303"/>
      <c r="E3" s="304"/>
      <c r="F3" s="429"/>
      <c r="G3" s="303"/>
      <c r="H3" s="303"/>
      <c r="I3" s="303"/>
      <c r="J3" s="303"/>
      <c r="K3" s="303"/>
      <c r="L3" s="303"/>
      <c r="M3" s="303"/>
      <c r="N3" s="303"/>
      <c r="O3" s="303"/>
      <c r="P3" s="303"/>
    </row>
    <row r="4" spans="1:16" ht="22.5" customHeight="1" thickBot="1" x14ac:dyDescent="0.4">
      <c r="A4" s="306"/>
      <c r="B4" s="307"/>
      <c r="C4" s="307"/>
      <c r="D4" s="307"/>
      <c r="E4" s="313" t="s">
        <v>0</v>
      </c>
      <c r="F4" s="314">
        <v>7</v>
      </c>
      <c r="G4" s="303"/>
      <c r="H4" s="315" t="s">
        <v>63</v>
      </c>
      <c r="I4" s="175"/>
      <c r="J4" s="303"/>
      <c r="K4" s="550" t="s">
        <v>1</v>
      </c>
      <c r="L4" s="551"/>
      <c r="M4" s="551"/>
      <c r="N4" s="551"/>
      <c r="O4" s="551"/>
      <c r="P4" s="303"/>
    </row>
    <row r="5" spans="1:16" ht="34.5" thickBot="1" x14ac:dyDescent="0.55000000000000004">
      <c r="A5" s="307"/>
      <c r="B5" s="307"/>
      <c r="C5" s="307"/>
      <c r="D5" s="307"/>
      <c r="E5" s="4" t="s">
        <v>2</v>
      </c>
      <c r="F5" s="316">
        <v>5</v>
      </c>
      <c r="G5" s="305"/>
      <c r="H5" s="318">
        <v>25</v>
      </c>
      <c r="I5" s="6" t="s">
        <v>3</v>
      </c>
      <c r="J5" s="431"/>
      <c r="K5" s="319"/>
      <c r="L5" s="552" t="s">
        <v>4</v>
      </c>
      <c r="M5" s="553"/>
      <c r="N5" s="554" t="s">
        <v>5</v>
      </c>
      <c r="O5" s="555"/>
      <c r="P5" s="303"/>
    </row>
    <row r="6" spans="1:16" ht="23.25" x14ac:dyDescent="0.35">
      <c r="A6" s="433"/>
      <c r="B6" s="307"/>
      <c r="C6" s="307"/>
      <c r="D6" s="307"/>
      <c r="E6" s="307"/>
      <c r="F6" s="307"/>
      <c r="G6" s="307"/>
      <c r="H6" s="315" t="s">
        <v>68</v>
      </c>
      <c r="I6" s="183"/>
      <c r="J6" s="307"/>
      <c r="K6" s="320"/>
      <c r="L6" s="266" t="s">
        <v>7</v>
      </c>
      <c r="M6" s="321" t="s">
        <v>8</v>
      </c>
      <c r="N6" s="322" t="s">
        <v>7</v>
      </c>
      <c r="O6" s="13" t="s">
        <v>8</v>
      </c>
      <c r="P6" s="303"/>
    </row>
    <row r="7" spans="1:16" x14ac:dyDescent="0.25">
      <c r="A7" s="433"/>
      <c r="B7" s="307"/>
      <c r="C7" s="307"/>
      <c r="D7" s="307"/>
      <c r="E7" s="307"/>
      <c r="F7" s="307"/>
      <c r="G7" s="307"/>
      <c r="H7" s="476"/>
      <c r="I7" s="307"/>
      <c r="J7" s="307"/>
      <c r="K7" s="323"/>
      <c r="L7" s="324" t="s">
        <v>15</v>
      </c>
      <c r="M7" s="325" t="s">
        <v>16</v>
      </c>
      <c r="N7" s="326" t="s">
        <v>17</v>
      </c>
      <c r="O7" s="327" t="s">
        <v>17</v>
      </c>
      <c r="P7" s="303"/>
    </row>
    <row r="8" spans="1:16" hidden="1" x14ac:dyDescent="0.25">
      <c r="A8" s="303"/>
      <c r="B8" s="303"/>
      <c r="C8" s="303"/>
      <c r="D8" s="303"/>
      <c r="E8" s="307"/>
      <c r="F8" s="307"/>
      <c r="G8" s="307"/>
      <c r="H8" s="307"/>
      <c r="I8" s="307"/>
      <c r="J8" s="307"/>
      <c r="K8" s="197" t="s">
        <v>20</v>
      </c>
      <c r="L8" s="29">
        <f>SUM(D38)*F4</f>
        <v>881.99999999999989</v>
      </c>
      <c r="M8" s="30">
        <f>SUM((E38)*F4)/2</f>
        <v>465.5</v>
      </c>
      <c r="N8" s="302">
        <f>SUM((D38)*F4)</f>
        <v>881.99999999999989</v>
      </c>
      <c r="O8" s="32">
        <f>SUM((E38)*F4)/2</f>
        <v>465.5</v>
      </c>
      <c r="P8" s="303"/>
    </row>
    <row r="9" spans="1:16" hidden="1" x14ac:dyDescent="0.25">
      <c r="A9" s="303"/>
      <c r="B9" s="303"/>
      <c r="C9" s="303"/>
      <c r="D9" s="303"/>
      <c r="E9" s="307"/>
      <c r="F9" s="307"/>
      <c r="G9" s="307"/>
      <c r="H9" s="307"/>
      <c r="I9" s="307"/>
      <c r="J9" s="307"/>
      <c r="K9" s="197"/>
      <c r="L9" s="37"/>
      <c r="M9" s="38"/>
      <c r="N9" s="328"/>
      <c r="O9" s="40"/>
      <c r="P9" s="303"/>
    </row>
    <row r="10" spans="1:16" hidden="1" x14ac:dyDescent="0.25">
      <c r="A10" s="306"/>
      <c r="B10" s="307"/>
      <c r="C10" s="307"/>
      <c r="D10" s="307"/>
      <c r="E10" s="307"/>
      <c r="F10" s="307"/>
      <c r="G10" s="307"/>
      <c r="H10" s="307"/>
      <c r="I10" s="307"/>
      <c r="J10" s="307"/>
      <c r="K10" s="197"/>
      <c r="L10" s="37"/>
      <c r="M10" s="38"/>
      <c r="N10" s="329" t="s">
        <v>25</v>
      </c>
      <c r="O10" s="46" t="s">
        <v>25</v>
      </c>
      <c r="P10" s="303"/>
    </row>
    <row r="11" spans="1:16" hidden="1" x14ac:dyDescent="0.25">
      <c r="A11" s="306"/>
      <c r="B11" s="307"/>
      <c r="C11" s="307"/>
      <c r="D11" s="307"/>
      <c r="E11" s="307"/>
      <c r="F11" s="307"/>
      <c r="G11" s="307"/>
      <c r="H11" s="307"/>
      <c r="I11" s="307"/>
      <c r="J11" s="307"/>
      <c r="K11" s="197"/>
      <c r="L11" s="37"/>
      <c r="M11" s="38"/>
      <c r="N11" s="328"/>
      <c r="O11" s="40"/>
      <c r="P11" s="303"/>
    </row>
    <row r="12" spans="1:16" hidden="1" x14ac:dyDescent="0.25">
      <c r="A12" s="306"/>
      <c r="B12" s="307"/>
      <c r="C12" s="307"/>
      <c r="D12" s="307"/>
      <c r="E12" s="307"/>
      <c r="F12" s="307"/>
      <c r="G12" s="307"/>
      <c r="H12" s="307"/>
      <c r="I12" s="307"/>
      <c r="J12" s="307"/>
      <c r="K12" s="197" t="s">
        <v>15</v>
      </c>
      <c r="L12" s="29">
        <f>SUM(E42*F5)</f>
        <v>487.5</v>
      </c>
      <c r="M12" s="30">
        <f>SUM(E42*F5)</f>
        <v>487.5</v>
      </c>
      <c r="N12" s="302">
        <v>0</v>
      </c>
      <c r="O12" s="32">
        <v>0</v>
      </c>
      <c r="P12" s="303"/>
    </row>
    <row r="13" spans="1:16" hidden="1" x14ac:dyDescent="0.25">
      <c r="A13" s="306"/>
      <c r="B13" s="307"/>
      <c r="C13" s="307"/>
      <c r="D13" s="307"/>
      <c r="E13" s="307"/>
      <c r="F13" s="307"/>
      <c r="G13" s="307"/>
      <c r="H13" s="307"/>
      <c r="I13" s="307"/>
      <c r="J13" s="307"/>
      <c r="K13" s="197" t="s">
        <v>4</v>
      </c>
      <c r="L13" s="29">
        <f>SUM(E43)</f>
        <v>105</v>
      </c>
      <c r="M13" s="30">
        <f>SUM(E43)</f>
        <v>105</v>
      </c>
      <c r="N13" s="302">
        <v>105</v>
      </c>
      <c r="O13" s="32">
        <v>105</v>
      </c>
      <c r="P13" s="303"/>
    </row>
    <row r="14" spans="1:16" hidden="1" x14ac:dyDescent="0.25">
      <c r="A14" s="306"/>
      <c r="B14" s="307"/>
      <c r="C14" s="307"/>
      <c r="D14" s="307"/>
      <c r="E14" s="307"/>
      <c r="F14" s="307"/>
      <c r="G14" s="307"/>
      <c r="H14" s="307"/>
      <c r="I14" s="307"/>
      <c r="J14" s="307"/>
      <c r="K14" s="197" t="s">
        <v>34</v>
      </c>
      <c r="L14" s="29">
        <f>SUM(E44)</f>
        <v>35</v>
      </c>
      <c r="M14" s="30">
        <f>SUM(E44)</f>
        <v>35</v>
      </c>
      <c r="N14" s="302">
        <f>SUM(E44)</f>
        <v>35</v>
      </c>
      <c r="O14" s="32">
        <f>SUM(L14)</f>
        <v>35</v>
      </c>
      <c r="P14" s="303"/>
    </row>
    <row r="15" spans="1:16" ht="15.75" hidden="1" x14ac:dyDescent="0.25">
      <c r="A15" s="307"/>
      <c r="B15" s="308"/>
      <c r="C15" s="307"/>
      <c r="D15" s="307"/>
      <c r="E15" s="307"/>
      <c r="F15" s="307"/>
      <c r="G15" s="307"/>
      <c r="H15" s="307"/>
      <c r="I15" s="307"/>
      <c r="J15" s="307"/>
      <c r="K15" s="197" t="s">
        <v>37</v>
      </c>
      <c r="L15" s="29">
        <f>SUM(E45)*F4</f>
        <v>119</v>
      </c>
      <c r="M15" s="30">
        <f>SUM(E45)*F4</f>
        <v>119</v>
      </c>
      <c r="N15" s="302">
        <f>SUM(E45)*F4</f>
        <v>119</v>
      </c>
      <c r="O15" s="32">
        <f>SUM(E45)*F4</f>
        <v>119</v>
      </c>
      <c r="P15" s="303"/>
    </row>
    <row r="16" spans="1:16" ht="16.5" hidden="1" thickBot="1" x14ac:dyDescent="0.3">
      <c r="A16" s="307"/>
      <c r="B16" s="308"/>
      <c r="C16" s="307"/>
      <c r="D16" s="307"/>
      <c r="E16" s="307"/>
      <c r="F16" s="307"/>
      <c r="G16" s="307"/>
      <c r="H16" s="307"/>
      <c r="I16" s="307"/>
      <c r="J16" s="307"/>
      <c r="K16" s="330" t="s">
        <v>35</v>
      </c>
      <c r="L16" s="53">
        <f>SUM((L8)*0.25)+(L15*0.15)</f>
        <v>238.34999999999997</v>
      </c>
      <c r="M16" s="53">
        <f t="shared" ref="M16:O16" si="0">SUM((M8)*0.25)+(M15*0.15)</f>
        <v>134.22499999999999</v>
      </c>
      <c r="N16" s="331">
        <f t="shared" si="0"/>
        <v>238.34999999999997</v>
      </c>
      <c r="O16" s="331">
        <f t="shared" si="0"/>
        <v>134.22499999999999</v>
      </c>
      <c r="P16" s="303"/>
    </row>
    <row r="17" spans="1:16" ht="18.75" x14ac:dyDescent="0.3">
      <c r="A17" s="306"/>
      <c r="B17" s="307"/>
      <c r="C17" s="307"/>
      <c r="D17" s="307"/>
      <c r="E17" s="307"/>
      <c r="F17" s="307"/>
      <c r="G17" s="307"/>
      <c r="H17" s="307"/>
      <c r="I17" s="307"/>
      <c r="J17" s="432"/>
      <c r="K17" s="332" t="s">
        <v>39</v>
      </c>
      <c r="L17" s="333">
        <f>SUM(L8:L16)</f>
        <v>1866.85</v>
      </c>
      <c r="M17" s="334">
        <f>SUM(M8:M16)</f>
        <v>1346.2249999999999</v>
      </c>
      <c r="N17" s="335">
        <f>SUM(N8:N16)</f>
        <v>1379.35</v>
      </c>
      <c r="O17" s="336">
        <f>SUM(O8:O16)</f>
        <v>858.72500000000002</v>
      </c>
      <c r="P17" s="303"/>
    </row>
    <row r="18" spans="1:16" ht="15.75" thickBot="1" x14ac:dyDescent="0.3">
      <c r="A18" s="433"/>
      <c r="B18" s="307"/>
      <c r="C18" s="307"/>
      <c r="D18" s="307"/>
      <c r="E18" s="307"/>
      <c r="F18" s="307"/>
      <c r="G18" s="307"/>
      <c r="H18" s="307"/>
      <c r="I18" s="307"/>
      <c r="J18" s="307"/>
      <c r="K18" s="337" t="s">
        <v>40</v>
      </c>
      <c r="L18" s="267">
        <f>SUM(L8+L12+L13)*H5/100</f>
        <v>368.625</v>
      </c>
      <c r="M18" s="58">
        <f>SUM(M8+M12+M13)*H5/100</f>
        <v>264.5</v>
      </c>
      <c r="N18" s="338">
        <f>SUM(N8+N12+N13)*H5/100</f>
        <v>246.74999999999997</v>
      </c>
      <c r="O18" s="60">
        <f>SUM(O8+O12+O13)*H5/100</f>
        <v>142.625</v>
      </c>
      <c r="P18" s="303"/>
    </row>
    <row r="19" spans="1:16" ht="15.75" thickBot="1" x14ac:dyDescent="0.3">
      <c r="A19" s="433"/>
      <c r="B19" s="307"/>
      <c r="C19" s="307"/>
      <c r="D19" s="307"/>
      <c r="E19" s="307"/>
      <c r="F19" s="307"/>
      <c r="G19" s="307"/>
      <c r="H19" s="307"/>
      <c r="I19" s="307"/>
      <c r="J19" s="307"/>
      <c r="K19" s="339" t="s">
        <v>41</v>
      </c>
      <c r="L19" s="53">
        <f>SUM(L17-L18)</f>
        <v>1498.2249999999999</v>
      </c>
      <c r="M19" s="54">
        <f>SUM(M17-M18)</f>
        <v>1081.7249999999999</v>
      </c>
      <c r="N19" s="331">
        <f>SUM(N17-N18)</f>
        <v>1132.5999999999999</v>
      </c>
      <c r="O19" s="55">
        <f>SUM(O17-O18)</f>
        <v>716.1</v>
      </c>
      <c r="P19" s="303"/>
    </row>
    <row r="20" spans="1:16" ht="21.75" thickBot="1" x14ac:dyDescent="0.4">
      <c r="A20" s="556" t="s">
        <v>42</v>
      </c>
      <c r="B20" s="557"/>
      <c r="C20" s="557"/>
      <c r="D20" s="557"/>
      <c r="E20" s="558"/>
      <c r="F20" s="559" t="s">
        <v>43</v>
      </c>
      <c r="G20" s="560"/>
      <c r="H20" s="560"/>
      <c r="I20" s="560"/>
      <c r="J20" s="561"/>
      <c r="K20" s="562" t="s">
        <v>45</v>
      </c>
      <c r="L20" s="563"/>
      <c r="M20" s="563"/>
      <c r="N20" s="563"/>
      <c r="O20" s="563"/>
      <c r="P20" s="303"/>
    </row>
    <row r="21" spans="1:16" ht="19.5" thickBot="1" x14ac:dyDescent="0.35">
      <c r="A21" s="340"/>
      <c r="B21" s="565" t="s">
        <v>4</v>
      </c>
      <c r="C21" s="566"/>
      <c r="D21" s="567" t="s">
        <v>5</v>
      </c>
      <c r="E21" s="568"/>
      <c r="F21" s="9"/>
      <c r="G21" s="569" t="s">
        <v>4</v>
      </c>
      <c r="H21" s="570"/>
      <c r="I21" s="571" t="s">
        <v>5</v>
      </c>
      <c r="J21" s="572"/>
      <c r="K21" s="341"/>
      <c r="L21" s="543" t="s">
        <v>4</v>
      </c>
      <c r="M21" s="544"/>
      <c r="N21" s="545" t="s">
        <v>5</v>
      </c>
      <c r="O21" s="546"/>
      <c r="P21" s="303"/>
    </row>
    <row r="22" spans="1:16" x14ac:dyDescent="0.25">
      <c r="A22" s="342"/>
      <c r="B22" s="68" t="s">
        <v>7</v>
      </c>
      <c r="C22" s="69" t="s">
        <v>8</v>
      </c>
      <c r="D22" s="70" t="s">
        <v>7</v>
      </c>
      <c r="E22" s="71" t="s">
        <v>8</v>
      </c>
      <c r="F22" s="67"/>
      <c r="G22" s="343" t="s">
        <v>7</v>
      </c>
      <c r="H22" s="73" t="s">
        <v>8</v>
      </c>
      <c r="I22" s="75" t="s">
        <v>7</v>
      </c>
      <c r="J22" s="76" t="s">
        <v>8</v>
      </c>
      <c r="K22" s="344"/>
      <c r="L22" s="345" t="s">
        <v>7</v>
      </c>
      <c r="M22" s="131" t="s">
        <v>8</v>
      </c>
      <c r="N22" s="346" t="s">
        <v>7</v>
      </c>
      <c r="O22" s="133" t="s">
        <v>8</v>
      </c>
      <c r="P22" s="303"/>
    </row>
    <row r="23" spans="1:16" x14ac:dyDescent="0.25">
      <c r="A23" s="342"/>
      <c r="B23" s="68" t="s">
        <v>44</v>
      </c>
      <c r="C23" s="78" t="s">
        <v>16</v>
      </c>
      <c r="D23" s="79" t="s">
        <v>17</v>
      </c>
      <c r="E23" s="80" t="s">
        <v>17</v>
      </c>
      <c r="F23" s="81"/>
      <c r="G23" s="347" t="s">
        <v>15</v>
      </c>
      <c r="H23" s="83" t="s">
        <v>16</v>
      </c>
      <c r="I23" s="84" t="s">
        <v>17</v>
      </c>
      <c r="J23" s="85" t="s">
        <v>17</v>
      </c>
      <c r="K23" s="348"/>
      <c r="L23" s="349" t="s">
        <v>15</v>
      </c>
      <c r="M23" s="136" t="s">
        <v>16</v>
      </c>
      <c r="N23" s="350" t="s">
        <v>17</v>
      </c>
      <c r="O23" s="138" t="s">
        <v>17</v>
      </c>
      <c r="P23" s="303"/>
    </row>
    <row r="24" spans="1:16" hidden="1" x14ac:dyDescent="0.25">
      <c r="A24" s="351" t="s">
        <v>20</v>
      </c>
      <c r="B24" s="87">
        <f>SUM(D39*F4)</f>
        <v>1127</v>
      </c>
      <c r="C24" s="88">
        <f>SUM((E39)*F4)/2</f>
        <v>588</v>
      </c>
      <c r="D24" s="89">
        <f>SUM((D39)*F4)</f>
        <v>1127</v>
      </c>
      <c r="E24" s="90">
        <f>SUM((E39)*F4)/2</f>
        <v>588</v>
      </c>
      <c r="F24" s="28" t="s">
        <v>20</v>
      </c>
      <c r="G24" s="352">
        <f>SUM((D40)*F4)</f>
        <v>1249.5</v>
      </c>
      <c r="H24" s="92">
        <f>SUM((E40)*F4)/2</f>
        <v>649.25</v>
      </c>
      <c r="I24" s="93">
        <f>SUM(D40*F4)</f>
        <v>1249.5</v>
      </c>
      <c r="J24" s="94">
        <f>SUM((E40)*F4)/2</f>
        <v>649.25</v>
      </c>
      <c r="K24" s="28" t="s">
        <v>20</v>
      </c>
      <c r="L24" s="353">
        <f>SUM((D41)*F4)</f>
        <v>1372</v>
      </c>
      <c r="M24" s="141">
        <f>SUM((E41)*F4)/2</f>
        <v>710.5</v>
      </c>
      <c r="N24" s="354">
        <f>SUM((D41)*F4)</f>
        <v>1372</v>
      </c>
      <c r="O24" s="143">
        <f>SUM((E41)*F4)/2</f>
        <v>710.5</v>
      </c>
      <c r="P24" s="303"/>
    </row>
    <row r="25" spans="1:16" hidden="1" x14ac:dyDescent="0.25">
      <c r="A25" s="351"/>
      <c r="B25" s="97"/>
      <c r="C25" s="98"/>
      <c r="D25" s="99"/>
      <c r="E25" s="100"/>
      <c r="F25" s="28"/>
      <c r="G25" s="355"/>
      <c r="H25" s="102"/>
      <c r="I25" s="103"/>
      <c r="J25" s="104"/>
      <c r="K25" s="28"/>
      <c r="L25" s="356"/>
      <c r="M25" s="145"/>
      <c r="N25" s="357"/>
      <c r="O25" s="147"/>
      <c r="P25" s="303"/>
    </row>
    <row r="26" spans="1:16" hidden="1" x14ac:dyDescent="0.25">
      <c r="A26" s="351"/>
      <c r="B26" s="68"/>
      <c r="C26" s="98"/>
      <c r="D26" s="105"/>
      <c r="E26" s="106"/>
      <c r="F26" s="28"/>
      <c r="G26" s="358"/>
      <c r="H26" s="108"/>
      <c r="I26" s="109"/>
      <c r="J26" s="110"/>
      <c r="K26" s="28"/>
      <c r="L26" s="356"/>
      <c r="M26" s="148"/>
      <c r="N26" s="357"/>
      <c r="O26" s="149"/>
      <c r="P26" s="303"/>
    </row>
    <row r="27" spans="1:16" hidden="1" x14ac:dyDescent="0.25">
      <c r="A27" s="351"/>
      <c r="B27" s="97"/>
      <c r="C27" s="98"/>
      <c r="D27" s="99"/>
      <c r="E27" s="100"/>
      <c r="F27" s="28"/>
      <c r="G27" s="355"/>
      <c r="H27" s="102"/>
      <c r="I27" s="103"/>
      <c r="J27" s="104"/>
      <c r="K27" s="28"/>
      <c r="L27" s="356"/>
      <c r="M27" s="145"/>
      <c r="N27" s="357"/>
      <c r="O27" s="147"/>
      <c r="P27" s="303"/>
    </row>
    <row r="28" spans="1:16" hidden="1" x14ac:dyDescent="0.25">
      <c r="A28" s="351" t="s">
        <v>15</v>
      </c>
      <c r="B28" s="409">
        <f>SUM(E42*F5)</f>
        <v>487.5</v>
      </c>
      <c r="C28" s="88">
        <f>SUM(E42*F5)</f>
        <v>487.5</v>
      </c>
      <c r="D28" s="89">
        <v>0</v>
      </c>
      <c r="E28" s="90">
        <v>0</v>
      </c>
      <c r="F28" s="28" t="s">
        <v>15</v>
      </c>
      <c r="G28" s="352">
        <f>SUM(E42*F5)</f>
        <v>487.5</v>
      </c>
      <c r="H28" s="92">
        <f>SUM(E42*F5)</f>
        <v>487.5</v>
      </c>
      <c r="I28" s="93">
        <v>0</v>
      </c>
      <c r="J28" s="94">
        <v>0</v>
      </c>
      <c r="K28" s="28" t="s">
        <v>15</v>
      </c>
      <c r="L28" s="353">
        <f>SUM(E42*F5)</f>
        <v>487.5</v>
      </c>
      <c r="M28" s="141">
        <f>SUM(E42*F5)</f>
        <v>487.5</v>
      </c>
      <c r="N28" s="354">
        <v>0</v>
      </c>
      <c r="O28" s="143">
        <v>0</v>
      </c>
      <c r="P28" s="303"/>
    </row>
    <row r="29" spans="1:16" hidden="1" x14ac:dyDescent="0.25">
      <c r="A29" s="351" t="s">
        <v>4</v>
      </c>
      <c r="B29" s="409">
        <f>SUM(E43)</f>
        <v>105</v>
      </c>
      <c r="C29" s="88">
        <f>SUM(E43)</f>
        <v>105</v>
      </c>
      <c r="D29" s="89">
        <v>105</v>
      </c>
      <c r="E29" s="90">
        <v>105</v>
      </c>
      <c r="F29" s="28" t="s">
        <v>4</v>
      </c>
      <c r="G29" s="352">
        <f>SUM(E43)</f>
        <v>105</v>
      </c>
      <c r="H29" s="92">
        <f>SUM(E43)</f>
        <v>105</v>
      </c>
      <c r="I29" s="93">
        <v>105</v>
      </c>
      <c r="J29" s="94">
        <v>105</v>
      </c>
      <c r="K29" s="28" t="s">
        <v>4</v>
      </c>
      <c r="L29" s="353">
        <f>SUM(E43)</f>
        <v>105</v>
      </c>
      <c r="M29" s="141">
        <f>SUM(E43)</f>
        <v>105</v>
      </c>
      <c r="N29" s="354">
        <v>105</v>
      </c>
      <c r="O29" s="143">
        <v>105</v>
      </c>
      <c r="P29" s="303"/>
    </row>
    <row r="30" spans="1:16" hidden="1" x14ac:dyDescent="0.25">
      <c r="A30" s="351" t="s">
        <v>34</v>
      </c>
      <c r="B30" s="409">
        <f>SUM(E44)</f>
        <v>35</v>
      </c>
      <c r="C30" s="88">
        <f>SUM(E44)</f>
        <v>35</v>
      </c>
      <c r="D30" s="89">
        <f>SUM(E44)</f>
        <v>35</v>
      </c>
      <c r="E30" s="90">
        <f>SUM(B30)</f>
        <v>35</v>
      </c>
      <c r="F30" s="28" t="s">
        <v>34</v>
      </c>
      <c r="G30" s="352">
        <f>SUM(E44)</f>
        <v>35</v>
      </c>
      <c r="H30" s="92">
        <f>SUM(E44)</f>
        <v>35</v>
      </c>
      <c r="I30" s="93">
        <f>SUM(E44)</f>
        <v>35</v>
      </c>
      <c r="J30" s="94">
        <f>SUM(E44)</f>
        <v>35</v>
      </c>
      <c r="K30" s="28" t="s">
        <v>34</v>
      </c>
      <c r="L30" s="353">
        <f>SUM(E44)</f>
        <v>35</v>
      </c>
      <c r="M30" s="141">
        <f>SUM(E44)</f>
        <v>35</v>
      </c>
      <c r="N30" s="354">
        <f>SUM(E44)</f>
        <v>35</v>
      </c>
      <c r="O30" s="143">
        <f>SUM(E44)</f>
        <v>35</v>
      </c>
      <c r="P30" s="303"/>
    </row>
    <row r="31" spans="1:16" hidden="1" x14ac:dyDescent="0.25">
      <c r="A31" s="351" t="s">
        <v>37</v>
      </c>
      <c r="B31" s="409">
        <f>SUM(E45)*F4</f>
        <v>119</v>
      </c>
      <c r="C31" s="88">
        <f>SUM(E45)*F4</f>
        <v>119</v>
      </c>
      <c r="D31" s="89">
        <f>SUM(E45)*F4</f>
        <v>119</v>
      </c>
      <c r="E31" s="90">
        <f>SUM(E45)*F4</f>
        <v>119</v>
      </c>
      <c r="F31" s="28" t="s">
        <v>37</v>
      </c>
      <c r="G31" s="352">
        <f>SUM(E45)*F4</f>
        <v>119</v>
      </c>
      <c r="H31" s="92">
        <f>SUM(E45)*F4</f>
        <v>119</v>
      </c>
      <c r="I31" s="116">
        <f>SUM(E45)*F4</f>
        <v>119</v>
      </c>
      <c r="J31" s="94">
        <f>SUM(E45)*F4</f>
        <v>119</v>
      </c>
      <c r="K31" s="28" t="s">
        <v>46</v>
      </c>
      <c r="L31" s="353">
        <f>SUM(E45)*F4</f>
        <v>119</v>
      </c>
      <c r="M31" s="141">
        <f>SUM(E45)*F4</f>
        <v>119</v>
      </c>
      <c r="N31" s="354">
        <f>SUM(E45)*F4</f>
        <v>119</v>
      </c>
      <c r="O31" s="143">
        <f>SUM(E45)*F4</f>
        <v>119</v>
      </c>
      <c r="P31" s="303"/>
    </row>
    <row r="32" spans="1:16" hidden="1" x14ac:dyDescent="0.25">
      <c r="A32" s="351" t="s">
        <v>35</v>
      </c>
      <c r="B32" s="410">
        <f>SUM((B24)*0.25)+(B31*0.15)</f>
        <v>299.60000000000002</v>
      </c>
      <c r="C32" s="410">
        <f t="shared" ref="C32:E32" si="1">SUM((C24)*0.25)+(C31*0.15)</f>
        <v>164.85</v>
      </c>
      <c r="D32" s="411">
        <f t="shared" si="1"/>
        <v>299.60000000000002</v>
      </c>
      <c r="E32" s="411">
        <f t="shared" si="1"/>
        <v>164.85</v>
      </c>
      <c r="F32" s="28" t="s">
        <v>35</v>
      </c>
      <c r="G32" s="359">
        <f>SUM((G24)*0.25)+(G31*0.15)</f>
        <v>330.22500000000002</v>
      </c>
      <c r="H32" s="359">
        <f t="shared" ref="H32:J32" si="2">SUM((H24)*0.25)+(H31*0.15)</f>
        <v>180.16249999999999</v>
      </c>
      <c r="I32" s="360">
        <f t="shared" si="2"/>
        <v>330.22500000000002</v>
      </c>
      <c r="J32" s="360">
        <f t="shared" si="2"/>
        <v>180.16249999999999</v>
      </c>
      <c r="K32" s="28" t="s">
        <v>35</v>
      </c>
      <c r="L32" s="361">
        <f>SUM((L24)*0.25)+(L31*0.15)</f>
        <v>360.85</v>
      </c>
      <c r="M32" s="361">
        <f t="shared" ref="M32:O32" si="3">SUM((M24)*0.25)+(M31*0.15)</f>
        <v>195.47499999999999</v>
      </c>
      <c r="N32" s="362">
        <f t="shared" si="3"/>
        <v>360.85</v>
      </c>
      <c r="O32" s="362">
        <f t="shared" si="3"/>
        <v>195.47499999999999</v>
      </c>
      <c r="P32" s="303"/>
    </row>
    <row r="33" spans="1:16" ht="18.75" x14ac:dyDescent="0.3">
      <c r="A33" s="363" t="s">
        <v>39</v>
      </c>
      <c r="B33" s="364">
        <f t="shared" ref="B33:E33" si="4">SUM(B24:B32)</f>
        <v>2173.1</v>
      </c>
      <c r="C33" s="365">
        <f t="shared" si="4"/>
        <v>1499.35</v>
      </c>
      <c r="D33" s="366">
        <f t="shared" si="4"/>
        <v>1685.6</v>
      </c>
      <c r="E33" s="367">
        <f t="shared" si="4"/>
        <v>1011.85</v>
      </c>
      <c r="F33" s="368" t="s">
        <v>39</v>
      </c>
      <c r="G33" s="369">
        <f>SUM(G24:G32)</f>
        <v>2326.2249999999999</v>
      </c>
      <c r="H33" s="122">
        <f>SUM(H24:H32)</f>
        <v>1575.9124999999999</v>
      </c>
      <c r="I33" s="370">
        <f>SUM(I24:I32)</f>
        <v>1838.7249999999999</v>
      </c>
      <c r="J33" s="371">
        <f>SUM(J24:J32)</f>
        <v>1088.4124999999999</v>
      </c>
      <c r="K33" s="368" t="s">
        <v>39</v>
      </c>
      <c r="L33" s="372">
        <f t="shared" ref="L33:O33" si="5">SUM(L24:L32)</f>
        <v>2479.35</v>
      </c>
      <c r="M33" s="373">
        <f t="shared" si="5"/>
        <v>1652.4749999999999</v>
      </c>
      <c r="N33" s="374">
        <f t="shared" si="5"/>
        <v>1991.85</v>
      </c>
      <c r="O33" s="375">
        <f t="shared" si="5"/>
        <v>1164.9749999999999</v>
      </c>
      <c r="P33" s="303"/>
    </row>
    <row r="34" spans="1:16" ht="15.75" thickBot="1" x14ac:dyDescent="0.3">
      <c r="A34" s="376" t="s">
        <v>40</v>
      </c>
      <c r="B34" s="377">
        <f>SUM(B24+B28+B29)*H5/100</f>
        <v>429.875</v>
      </c>
      <c r="C34" s="378">
        <f>SUM(C24+C28+C29)*H5/100</f>
        <v>295.125</v>
      </c>
      <c r="D34" s="379">
        <f>SUM(D24+D28+D29)*H5/100</f>
        <v>308</v>
      </c>
      <c r="E34" s="380">
        <f>SUM(E24+E28+E29)*H5/100</f>
        <v>173.25</v>
      </c>
      <c r="F34" s="28" t="s">
        <v>40</v>
      </c>
      <c r="G34" s="381">
        <f>SUM(G24+G28+G29)*H5/100</f>
        <v>460.5</v>
      </c>
      <c r="H34" s="382">
        <f>SUM(H24+H28+H29)*H5/100</f>
        <v>310.4375</v>
      </c>
      <c r="I34" s="383">
        <f>SUM(I24+I28+I29)*H5/100</f>
        <v>338.625</v>
      </c>
      <c r="J34" s="384">
        <f>SUM(J24+J28+J29)*H5/100</f>
        <v>188.5625</v>
      </c>
      <c r="K34" s="124" t="s">
        <v>40</v>
      </c>
      <c r="L34" s="385">
        <f>SUM(L24+L28+L29)*H5/100</f>
        <v>491.125</v>
      </c>
      <c r="M34" s="386">
        <f>SUM(M24+M28+M29)*H5/100</f>
        <v>325.75</v>
      </c>
      <c r="N34" s="387">
        <f>SUM(N24+N28+N29)*H5/100</f>
        <v>369.25</v>
      </c>
      <c r="O34" s="388">
        <f>SUM(O24+O28+O29)*H5/100</f>
        <v>203.875</v>
      </c>
      <c r="P34" s="303"/>
    </row>
    <row r="35" spans="1:16" ht="15.75" thickBot="1" x14ac:dyDescent="0.3">
      <c r="A35" s="363" t="s">
        <v>41</v>
      </c>
      <c r="B35" s="389">
        <f t="shared" ref="B35:E35" si="6">SUM(B33-B34)</f>
        <v>1743.2249999999999</v>
      </c>
      <c r="C35" s="390">
        <f t="shared" si="6"/>
        <v>1204.2249999999999</v>
      </c>
      <c r="D35" s="391">
        <f t="shared" si="6"/>
        <v>1377.6</v>
      </c>
      <c r="E35" s="392">
        <f t="shared" si="6"/>
        <v>838.6</v>
      </c>
      <c r="F35" s="393" t="s">
        <v>41</v>
      </c>
      <c r="G35" s="394">
        <f>SUM(G33-G34)</f>
        <v>1865.7249999999999</v>
      </c>
      <c r="H35" s="127">
        <f>SUM(H33-H34)</f>
        <v>1265.4749999999999</v>
      </c>
      <c r="I35" s="395">
        <f>SUM(I33-I34)</f>
        <v>1500.1</v>
      </c>
      <c r="J35" s="94">
        <f>SUM(J33-J34)</f>
        <v>899.84999999999991</v>
      </c>
      <c r="K35" s="393" t="s">
        <v>41</v>
      </c>
      <c r="L35" s="396">
        <f t="shared" ref="L35:O35" si="7">SUM(L33-L34)</f>
        <v>1988.2249999999999</v>
      </c>
      <c r="M35" s="397">
        <f t="shared" si="7"/>
        <v>1326.7249999999999</v>
      </c>
      <c r="N35" s="398">
        <f t="shared" si="7"/>
        <v>1622.6</v>
      </c>
      <c r="O35" s="388">
        <f t="shared" si="7"/>
        <v>961.09999999999991</v>
      </c>
      <c r="P35" s="303"/>
    </row>
    <row r="36" spans="1:16" x14ac:dyDescent="0.25">
      <c r="A36" s="307"/>
      <c r="B36" s="434"/>
      <c r="C36" s="307"/>
      <c r="D36" s="307"/>
      <c r="E36" s="307"/>
      <c r="F36" s="307"/>
      <c r="G36" s="307"/>
      <c r="H36" s="307"/>
      <c r="I36" s="434"/>
      <c r="J36" s="303"/>
      <c r="K36" s="303"/>
      <c r="L36" s="303"/>
      <c r="M36" s="303"/>
      <c r="N36" s="303"/>
      <c r="O36" s="303"/>
      <c r="P36" s="303"/>
    </row>
    <row r="37" spans="1:16" hidden="1" x14ac:dyDescent="0.25">
      <c r="A37" s="307"/>
      <c r="B37" s="399"/>
      <c r="C37" s="317" t="s">
        <v>6</v>
      </c>
      <c r="D37" s="400" t="s">
        <v>7</v>
      </c>
      <c r="E37" s="400" t="s">
        <v>8</v>
      </c>
      <c r="F37" s="400" t="s">
        <v>9</v>
      </c>
      <c r="G37" s="400" t="s">
        <v>10</v>
      </c>
      <c r="H37" s="307"/>
      <c r="I37" s="574" t="s">
        <v>14</v>
      </c>
      <c r="J37" s="575"/>
      <c r="K37" s="306"/>
      <c r="L37" s="307"/>
      <c r="M37" s="307"/>
      <c r="N37" s="303"/>
      <c r="O37" s="303"/>
      <c r="P37" s="303"/>
    </row>
    <row r="38" spans="1:16" hidden="1" x14ac:dyDescent="0.25">
      <c r="A38" s="307"/>
      <c r="B38" s="401" t="s">
        <v>12</v>
      </c>
      <c r="C38" s="15" t="s">
        <v>13</v>
      </c>
      <c r="D38" s="16">
        <f>SUM(0.7*180)</f>
        <v>125.99999999999999</v>
      </c>
      <c r="E38" s="17">
        <f>SUM(190*0.7)</f>
        <v>133</v>
      </c>
      <c r="F38" s="17">
        <f>SUM(200*0.7)</f>
        <v>140</v>
      </c>
      <c r="G38" s="18">
        <f>SUM(210*0.7)</f>
        <v>147</v>
      </c>
      <c r="H38" s="307"/>
      <c r="I38" s="447" t="s">
        <v>19</v>
      </c>
      <c r="J38" s="448">
        <v>25</v>
      </c>
      <c r="K38" s="306"/>
      <c r="L38" s="307"/>
      <c r="M38" s="307"/>
      <c r="N38" s="303"/>
      <c r="O38" s="303"/>
      <c r="P38" s="303"/>
    </row>
    <row r="39" spans="1:16" hidden="1" x14ac:dyDescent="0.25">
      <c r="A39" s="307"/>
      <c r="B39" s="401" t="s">
        <v>12</v>
      </c>
      <c r="C39" s="23" t="s">
        <v>18</v>
      </c>
      <c r="D39" s="24">
        <f>SUM(230*0.7)</f>
        <v>161</v>
      </c>
      <c r="E39" s="25">
        <f>SUM(240*0.7)</f>
        <v>168</v>
      </c>
      <c r="F39" s="25">
        <f>SUM(250*0.7)</f>
        <v>175</v>
      </c>
      <c r="G39" s="26">
        <f>SUM(260*0.7)</f>
        <v>182</v>
      </c>
      <c r="H39" s="307"/>
      <c r="I39" s="447"/>
      <c r="J39" s="448">
        <v>0</v>
      </c>
      <c r="K39" s="307"/>
      <c r="L39" s="307"/>
      <c r="M39" s="307"/>
      <c r="N39" s="303"/>
      <c r="O39" s="303"/>
      <c r="P39" s="303"/>
    </row>
    <row r="40" spans="1:16" hidden="1" x14ac:dyDescent="0.25">
      <c r="A40" s="307"/>
      <c r="B40" s="401" t="s">
        <v>12</v>
      </c>
      <c r="C40" s="33" t="s">
        <v>21</v>
      </c>
      <c r="D40" s="34">
        <f>SUM(255*0.7)</f>
        <v>178.5</v>
      </c>
      <c r="E40" s="35">
        <f>SUM(265*0.7)</f>
        <v>185.5</v>
      </c>
      <c r="F40" s="35">
        <f>SUM(285*0.7)</f>
        <v>199.5</v>
      </c>
      <c r="G40" s="36">
        <f>SUM(285*0.7)</f>
        <v>199.5</v>
      </c>
      <c r="H40" s="307"/>
      <c r="I40" s="447" t="s">
        <v>24</v>
      </c>
      <c r="J40" s="448">
        <v>0</v>
      </c>
      <c r="K40" s="433"/>
      <c r="L40" s="307"/>
      <c r="M40" s="307"/>
      <c r="N40" s="303"/>
      <c r="O40" s="303"/>
      <c r="P40" s="303"/>
    </row>
    <row r="41" spans="1:16" hidden="1" x14ac:dyDescent="0.25">
      <c r="A41" s="307"/>
      <c r="B41" s="401" t="s">
        <v>12</v>
      </c>
      <c r="C41" s="41" t="s">
        <v>23</v>
      </c>
      <c r="D41" s="42">
        <f>SUM(280*0.7)</f>
        <v>196</v>
      </c>
      <c r="E41" s="43">
        <f>SUM(290*0.7)</f>
        <v>203</v>
      </c>
      <c r="F41" s="43">
        <f>SUM(300*0.7)</f>
        <v>210</v>
      </c>
      <c r="G41" s="44">
        <f>SUM(310*0.7)</f>
        <v>217</v>
      </c>
      <c r="H41" s="307"/>
      <c r="I41" s="449" t="s">
        <v>57</v>
      </c>
      <c r="J41" s="448">
        <v>20</v>
      </c>
      <c r="K41" s="433"/>
      <c r="L41" s="307"/>
      <c r="M41" s="307"/>
      <c r="N41" s="303"/>
      <c r="O41" s="303"/>
      <c r="P41" s="303"/>
    </row>
    <row r="42" spans="1:16" hidden="1" x14ac:dyDescent="0.25">
      <c r="A42" s="307"/>
      <c r="B42" s="402" t="s">
        <v>12</v>
      </c>
      <c r="C42" s="48" t="s">
        <v>26</v>
      </c>
      <c r="D42" s="49"/>
      <c r="E42" s="403">
        <v>97.5</v>
      </c>
      <c r="F42" s="49" t="s">
        <v>27</v>
      </c>
      <c r="G42" s="303"/>
      <c r="H42" s="307"/>
      <c r="I42" s="450" t="s">
        <v>58</v>
      </c>
      <c r="J42" s="448">
        <v>0</v>
      </c>
      <c r="K42" s="303"/>
      <c r="L42" s="307"/>
      <c r="M42" s="307"/>
      <c r="N42" s="303"/>
      <c r="O42" s="303"/>
      <c r="P42" s="303"/>
    </row>
    <row r="43" spans="1:16" hidden="1" x14ac:dyDescent="0.25">
      <c r="A43" s="307"/>
      <c r="B43" s="404"/>
      <c r="C43" s="405" t="s">
        <v>71</v>
      </c>
      <c r="D43" s="406"/>
      <c r="E43" s="407">
        <v>105</v>
      </c>
      <c r="F43" s="406"/>
      <c r="G43" s="303"/>
      <c r="H43" s="307"/>
      <c r="I43" s="450" t="s">
        <v>59</v>
      </c>
      <c r="J43" s="448">
        <v>10</v>
      </c>
      <c r="K43" s="303"/>
      <c r="L43" s="307"/>
      <c r="M43" s="307"/>
      <c r="N43" s="303"/>
      <c r="O43" s="303"/>
      <c r="P43" s="303"/>
    </row>
    <row r="44" spans="1:16" hidden="1" x14ac:dyDescent="0.25">
      <c r="A44" s="307"/>
      <c r="B44" s="408" t="s">
        <v>28</v>
      </c>
      <c r="C44" s="209" t="s">
        <v>14</v>
      </c>
      <c r="D44" s="7"/>
      <c r="E44" s="207">
        <v>35</v>
      </c>
      <c r="F44" s="7" t="s">
        <v>29</v>
      </c>
      <c r="G44" s="303"/>
      <c r="H44" s="307"/>
      <c r="I44" s="450" t="s">
        <v>64</v>
      </c>
      <c r="J44" s="451">
        <v>10</v>
      </c>
      <c r="K44" s="303"/>
      <c r="L44" s="303"/>
      <c r="M44" s="303"/>
      <c r="N44" s="303"/>
      <c r="O44" s="303"/>
      <c r="P44" s="303"/>
    </row>
    <row r="45" spans="1:16" hidden="1" x14ac:dyDescent="0.25">
      <c r="A45" s="307"/>
      <c r="B45" s="408" t="s">
        <v>28</v>
      </c>
      <c r="C45" s="7" t="s">
        <v>31</v>
      </c>
      <c r="D45" s="7"/>
      <c r="E45" s="198">
        <v>17</v>
      </c>
      <c r="F45" s="7" t="s">
        <v>32</v>
      </c>
      <c r="G45" s="303"/>
      <c r="H45" s="307"/>
      <c r="I45" s="450" t="s">
        <v>65</v>
      </c>
      <c r="J45" s="451">
        <v>0</v>
      </c>
      <c r="K45" s="303"/>
      <c r="L45" s="303"/>
      <c r="M45" s="303"/>
      <c r="N45" s="303"/>
      <c r="O45" s="303"/>
      <c r="P45" s="303"/>
    </row>
    <row r="46" spans="1:16" hidden="1" x14ac:dyDescent="0.25">
      <c r="A46" s="307"/>
      <c r="B46" s="408" t="s">
        <v>28</v>
      </c>
      <c r="C46" s="7" t="s">
        <v>35</v>
      </c>
      <c r="D46" s="201" t="s">
        <v>73</v>
      </c>
      <c r="E46" s="201"/>
      <c r="F46" s="7"/>
      <c r="G46" s="303"/>
      <c r="H46" s="307"/>
      <c r="I46" s="450" t="s">
        <v>66</v>
      </c>
      <c r="J46" s="451">
        <v>75</v>
      </c>
      <c r="K46" s="303"/>
      <c r="L46" s="303"/>
      <c r="M46" s="303"/>
      <c r="N46" s="303"/>
      <c r="O46" s="303"/>
      <c r="P46" s="303"/>
    </row>
    <row r="47" spans="1:16" ht="21" x14ac:dyDescent="0.25">
      <c r="A47" s="472"/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</row>
    <row r="48" spans="1:16" ht="21" x14ac:dyDescent="0.35">
      <c r="A48" s="480" t="s">
        <v>74</v>
      </c>
      <c r="B48" s="481"/>
      <c r="C48" s="481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</row>
    <row r="49" spans="1:16" ht="21" x14ac:dyDescent="0.35">
      <c r="A49" s="480"/>
      <c r="B49" s="481"/>
      <c r="C49" s="481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</row>
    <row r="50" spans="1:16" x14ac:dyDescent="0.25">
      <c r="A50" s="303"/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</row>
    <row r="51" spans="1:16" x14ac:dyDescent="0.25">
      <c r="A51" s="303"/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</row>
    <row r="52" spans="1:16" x14ac:dyDescent="0.25">
      <c r="A52" s="303"/>
      <c r="B52" s="303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</row>
    <row r="53" spans="1:16" x14ac:dyDescent="0.25">
      <c r="A53" s="303"/>
      <c r="B53" s="303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</row>
    <row r="54" spans="1:16" x14ac:dyDescent="0.25">
      <c r="A54" s="303"/>
      <c r="B54" s="303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</row>
    <row r="55" spans="1:16" x14ac:dyDescent="0.25">
      <c r="A55" s="303"/>
      <c r="B55" s="303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3"/>
    </row>
  </sheetData>
  <mergeCells count="14">
    <mergeCell ref="I37:J37"/>
    <mergeCell ref="B21:C21"/>
    <mergeCell ref="D21:E21"/>
    <mergeCell ref="G21:H21"/>
    <mergeCell ref="I21:J21"/>
    <mergeCell ref="L21:M21"/>
    <mergeCell ref="N21:O21"/>
    <mergeCell ref="B1:E1"/>
    <mergeCell ref="K4:O4"/>
    <mergeCell ref="L5:M5"/>
    <mergeCell ref="N5:O5"/>
    <mergeCell ref="A20:E20"/>
    <mergeCell ref="F20:J20"/>
    <mergeCell ref="K20:O20"/>
  </mergeCells>
  <conditionalFormatting sqref="H5">
    <cfRule type="cellIs" dxfId="15" priority="4" operator="greaterThan">
      <formula>20</formula>
    </cfRule>
  </conditionalFormatting>
  <conditionalFormatting sqref="F4">
    <cfRule type="cellIs" dxfId="14" priority="2" operator="lessThan">
      <formula>5</formula>
    </cfRule>
    <cfRule type="cellIs" dxfId="13" priority="3" operator="lessThan">
      <formula>5</formula>
    </cfRule>
  </conditionalFormatting>
  <conditionalFormatting sqref="F5">
    <cfRule type="cellIs" dxfId="12" priority="1" operator="lessThan">
      <formula>4</formula>
    </cfRule>
  </conditionalFormatting>
  <pageMargins left="0.75" right="0.75" top="1" bottom="1" header="0.5" footer="0.5"/>
  <pageSetup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3EFB9-EF1E-42FC-BD4B-C848DF7C02D9}">
  <sheetPr>
    <tabColor rgb="FFFFFF00"/>
  </sheetPr>
  <dimension ref="A1:P55"/>
  <sheetViews>
    <sheetView workbookViewId="0">
      <selection activeCell="F55" sqref="F55"/>
    </sheetView>
  </sheetViews>
  <sheetFormatPr defaultColWidth="11.42578125" defaultRowHeight="15" x14ac:dyDescent="0.25"/>
  <cols>
    <col min="1" max="1" width="13.28515625" customWidth="1"/>
    <col min="2" max="2" width="15.5703125" customWidth="1"/>
    <col min="3" max="3" width="17.28515625" customWidth="1"/>
    <col min="4" max="4" width="17.140625" customWidth="1"/>
    <col min="5" max="5" width="19.140625" customWidth="1"/>
    <col min="6" max="6" width="18.42578125" customWidth="1"/>
    <col min="7" max="7" width="15.140625" customWidth="1"/>
    <col min="8" max="8" width="15.5703125" customWidth="1"/>
    <col min="9" max="9" width="16.42578125" customWidth="1"/>
    <col min="10" max="10" width="14.140625" customWidth="1"/>
    <col min="11" max="11" width="13.28515625" customWidth="1"/>
    <col min="12" max="12" width="14.85546875" customWidth="1"/>
    <col min="13" max="13" width="15" customWidth="1"/>
    <col min="14" max="14" width="15.140625" customWidth="1"/>
    <col min="15" max="15" width="14.5703125" customWidth="1"/>
  </cols>
  <sheetData>
    <row r="1" spans="1:16" ht="33.950000000000003" customHeight="1" thickBot="1" x14ac:dyDescent="0.55000000000000004">
      <c r="A1" s="310"/>
      <c r="B1" s="547" t="s">
        <v>85</v>
      </c>
      <c r="C1" s="548"/>
      <c r="D1" s="548"/>
      <c r="E1" s="549"/>
      <c r="F1" s="435" t="s">
        <v>84</v>
      </c>
      <c r="G1" s="310"/>
      <c r="H1" s="310"/>
      <c r="I1" s="310"/>
      <c r="J1" s="310"/>
      <c r="K1" s="310"/>
      <c r="L1" s="436"/>
      <c r="M1" s="436"/>
      <c r="N1" s="436"/>
      <c r="O1" s="436"/>
      <c r="P1" s="310"/>
    </row>
    <row r="2" spans="1:16" ht="32.1" customHeight="1" x14ac:dyDescent="0.4">
      <c r="A2" s="473" t="s">
        <v>55</v>
      </c>
      <c r="B2" s="312"/>
      <c r="C2" s="312"/>
      <c r="D2" s="310"/>
      <c r="E2" s="412"/>
      <c r="F2" s="413"/>
      <c r="G2" s="439"/>
      <c r="H2" s="310"/>
      <c r="I2" s="310"/>
      <c r="J2" s="310"/>
      <c r="K2" s="310"/>
      <c r="L2" s="414"/>
      <c r="M2" s="414"/>
      <c r="N2" s="414"/>
      <c r="O2" s="414"/>
      <c r="P2" s="310"/>
    </row>
    <row r="3" spans="1:16" ht="18.75" customHeight="1" thickBot="1" x14ac:dyDescent="0.3">
      <c r="A3" s="474" t="s">
        <v>56</v>
      </c>
      <c r="B3" s="310"/>
      <c r="C3" s="310"/>
      <c r="D3" s="310"/>
      <c r="E3" s="412"/>
      <c r="F3" s="413"/>
      <c r="G3" s="310"/>
      <c r="H3" s="310"/>
      <c r="I3" s="310"/>
      <c r="J3" s="310"/>
      <c r="K3" s="310"/>
      <c r="L3" s="310"/>
      <c r="M3" s="310"/>
      <c r="N3" s="310"/>
      <c r="O3" s="310"/>
      <c r="P3" s="310"/>
    </row>
    <row r="4" spans="1:16" ht="22.5" customHeight="1" thickBot="1" x14ac:dyDescent="0.4">
      <c r="A4" s="415"/>
      <c r="B4" s="311"/>
      <c r="C4" s="311"/>
      <c r="D4" s="311"/>
      <c r="E4" s="443" t="s">
        <v>0</v>
      </c>
      <c r="F4" s="444">
        <v>7</v>
      </c>
      <c r="G4" s="310"/>
      <c r="H4" s="315" t="s">
        <v>63</v>
      </c>
      <c r="I4" s="175"/>
      <c r="J4" s="310"/>
      <c r="K4" s="550" t="s">
        <v>1</v>
      </c>
      <c r="L4" s="551"/>
      <c r="M4" s="551"/>
      <c r="N4" s="551"/>
      <c r="O4" s="551"/>
      <c r="P4" s="310"/>
    </row>
    <row r="5" spans="1:16" ht="34.5" thickBot="1" x14ac:dyDescent="0.55000000000000004">
      <c r="A5" s="311"/>
      <c r="B5" s="311"/>
      <c r="C5" s="311"/>
      <c r="D5" s="311"/>
      <c r="E5" s="445" t="s">
        <v>2</v>
      </c>
      <c r="F5" s="446">
        <v>5</v>
      </c>
      <c r="G5" s="312"/>
      <c r="H5" s="318">
        <v>10</v>
      </c>
      <c r="I5" s="6" t="s">
        <v>3</v>
      </c>
      <c r="J5" s="418"/>
      <c r="K5" s="319"/>
      <c r="L5" s="552" t="s">
        <v>4</v>
      </c>
      <c r="M5" s="553"/>
      <c r="N5" s="554" t="s">
        <v>5</v>
      </c>
      <c r="O5" s="555"/>
      <c r="P5" s="310"/>
    </row>
    <row r="6" spans="1:16" ht="23.25" x14ac:dyDescent="0.35">
      <c r="A6" s="474"/>
      <c r="B6" s="311"/>
      <c r="C6" s="311"/>
      <c r="D6" s="311"/>
      <c r="E6" s="311"/>
      <c r="F6" s="311"/>
      <c r="G6" s="311"/>
      <c r="H6" s="315" t="s">
        <v>68</v>
      </c>
      <c r="I6" s="183"/>
      <c r="J6" s="311"/>
      <c r="K6" s="320"/>
      <c r="L6" s="266" t="s">
        <v>7</v>
      </c>
      <c r="M6" s="321" t="s">
        <v>8</v>
      </c>
      <c r="N6" s="322" t="s">
        <v>7</v>
      </c>
      <c r="O6" s="13" t="s">
        <v>8</v>
      </c>
      <c r="P6" s="310"/>
    </row>
    <row r="7" spans="1:16" x14ac:dyDescent="0.25">
      <c r="A7" s="417"/>
      <c r="B7" s="311"/>
      <c r="C7" s="311"/>
      <c r="D7" s="311"/>
      <c r="E7" s="311"/>
      <c r="F7" s="311"/>
      <c r="G7" s="311"/>
      <c r="H7" s="475"/>
      <c r="I7" s="311"/>
      <c r="J7" s="311"/>
      <c r="K7" s="323"/>
      <c r="L7" s="324" t="s">
        <v>15</v>
      </c>
      <c r="M7" s="325" t="s">
        <v>16</v>
      </c>
      <c r="N7" s="326" t="s">
        <v>17</v>
      </c>
      <c r="O7" s="327" t="s">
        <v>17</v>
      </c>
      <c r="P7" s="310"/>
    </row>
    <row r="8" spans="1:16" hidden="1" x14ac:dyDescent="0.25">
      <c r="A8" s="310"/>
      <c r="B8" s="310"/>
      <c r="C8" s="310"/>
      <c r="D8" s="310"/>
      <c r="E8" s="311"/>
      <c r="F8" s="311"/>
      <c r="G8" s="311"/>
      <c r="H8" s="311"/>
      <c r="I8" s="311"/>
      <c r="J8" s="311"/>
      <c r="K8" s="197" t="s">
        <v>20</v>
      </c>
      <c r="L8" s="29">
        <f>SUM(D38)*F4</f>
        <v>1130.5</v>
      </c>
      <c r="M8" s="30">
        <f>SUM((E38)*F4)/2</f>
        <v>593.6</v>
      </c>
      <c r="N8" s="302">
        <f>SUM((D38)*F4)</f>
        <v>1130.5</v>
      </c>
      <c r="O8" s="32">
        <f>SUM((E38)*F4)/2</f>
        <v>593.6</v>
      </c>
      <c r="P8" s="310"/>
    </row>
    <row r="9" spans="1:16" hidden="1" x14ac:dyDescent="0.25">
      <c r="A9" s="310"/>
      <c r="B9" s="310"/>
      <c r="C9" s="310"/>
      <c r="D9" s="310"/>
      <c r="E9" s="311"/>
      <c r="F9" s="311"/>
      <c r="G9" s="311"/>
      <c r="H9" s="311"/>
      <c r="I9" s="311"/>
      <c r="J9" s="311"/>
      <c r="K9" s="197"/>
      <c r="L9" s="37"/>
      <c r="M9" s="38"/>
      <c r="N9" s="328"/>
      <c r="O9" s="40"/>
      <c r="P9" s="310"/>
    </row>
    <row r="10" spans="1:16" hidden="1" x14ac:dyDescent="0.25">
      <c r="A10" s="415"/>
      <c r="B10" s="311"/>
      <c r="C10" s="311"/>
      <c r="D10" s="311"/>
      <c r="E10" s="311"/>
      <c r="F10" s="311"/>
      <c r="G10" s="311"/>
      <c r="H10" s="311"/>
      <c r="I10" s="311"/>
      <c r="J10" s="311"/>
      <c r="K10" s="197"/>
      <c r="L10" s="37"/>
      <c r="M10" s="38"/>
      <c r="N10" s="329" t="s">
        <v>25</v>
      </c>
      <c r="O10" s="46" t="s">
        <v>25</v>
      </c>
      <c r="P10" s="310"/>
    </row>
    <row r="11" spans="1:16" hidden="1" x14ac:dyDescent="0.25">
      <c r="A11" s="415"/>
      <c r="B11" s="311"/>
      <c r="C11" s="311"/>
      <c r="D11" s="311"/>
      <c r="E11" s="311"/>
      <c r="F11" s="311"/>
      <c r="G11" s="311"/>
      <c r="H11" s="311"/>
      <c r="I11" s="311"/>
      <c r="J11" s="311"/>
      <c r="K11" s="197"/>
      <c r="L11" s="37"/>
      <c r="M11" s="38"/>
      <c r="N11" s="328"/>
      <c r="O11" s="40"/>
      <c r="P11" s="310"/>
    </row>
    <row r="12" spans="1:16" hidden="1" x14ac:dyDescent="0.25">
      <c r="A12" s="415"/>
      <c r="B12" s="311"/>
      <c r="C12" s="311"/>
      <c r="D12" s="311"/>
      <c r="E12" s="311"/>
      <c r="F12" s="311"/>
      <c r="G12" s="311"/>
      <c r="H12" s="311"/>
      <c r="I12" s="311"/>
      <c r="J12" s="311"/>
      <c r="K12" s="197" t="s">
        <v>15</v>
      </c>
      <c r="L12" s="29">
        <f>SUM(E42*F5)</f>
        <v>552.5</v>
      </c>
      <c r="M12" s="30">
        <f>SUM(E42*F5)</f>
        <v>552.5</v>
      </c>
      <c r="N12" s="302">
        <v>0</v>
      </c>
      <c r="O12" s="32">
        <v>0</v>
      </c>
      <c r="P12" s="310"/>
    </row>
    <row r="13" spans="1:16" hidden="1" x14ac:dyDescent="0.25">
      <c r="A13" s="415"/>
      <c r="B13" s="311"/>
      <c r="C13" s="311"/>
      <c r="D13" s="311"/>
      <c r="E13" s="311"/>
      <c r="F13" s="311"/>
      <c r="G13" s="311"/>
      <c r="H13" s="311"/>
      <c r="I13" s="311"/>
      <c r="J13" s="311"/>
      <c r="K13" s="197" t="s">
        <v>70</v>
      </c>
      <c r="L13" s="29">
        <f>SUM(E43)</f>
        <v>87</v>
      </c>
      <c r="M13" s="30">
        <f>SUM(E43)</f>
        <v>87</v>
      </c>
      <c r="N13" s="302">
        <f>SUM(E43)</f>
        <v>87</v>
      </c>
      <c r="O13" s="32">
        <f>SUM(E43)</f>
        <v>87</v>
      </c>
      <c r="P13" s="310"/>
    </row>
    <row r="14" spans="1:16" hidden="1" x14ac:dyDescent="0.25">
      <c r="A14" s="415"/>
      <c r="B14" s="311"/>
      <c r="C14" s="311"/>
      <c r="D14" s="311"/>
      <c r="E14" s="311"/>
      <c r="F14" s="311"/>
      <c r="G14" s="311"/>
      <c r="H14" s="311"/>
      <c r="I14" s="311"/>
      <c r="J14" s="311"/>
      <c r="K14" s="197" t="s">
        <v>34</v>
      </c>
      <c r="L14" s="29">
        <f>SUM(E44)</f>
        <v>60</v>
      </c>
      <c r="M14" s="30">
        <f>SUM(E44)</f>
        <v>60</v>
      </c>
      <c r="N14" s="302">
        <f>SUM(E44)</f>
        <v>60</v>
      </c>
      <c r="O14" s="32">
        <f>SUM(L14)</f>
        <v>60</v>
      </c>
      <c r="P14" s="310"/>
    </row>
    <row r="15" spans="1:16" ht="15.75" hidden="1" x14ac:dyDescent="0.25">
      <c r="A15" s="311"/>
      <c r="B15" s="416"/>
      <c r="C15" s="311"/>
      <c r="D15" s="311"/>
      <c r="E15" s="311"/>
      <c r="F15" s="311"/>
      <c r="G15" s="311"/>
      <c r="H15" s="311"/>
      <c r="I15" s="311"/>
      <c r="J15" s="311"/>
      <c r="K15" s="197" t="s">
        <v>37</v>
      </c>
      <c r="L15" s="29">
        <f>SUM(E45)*F4</f>
        <v>119</v>
      </c>
      <c r="M15" s="30">
        <f>SUM(E45)*F4</f>
        <v>119</v>
      </c>
      <c r="N15" s="302">
        <f>SUM(E45)*F4</f>
        <v>119</v>
      </c>
      <c r="O15" s="32">
        <f>SUM(E45)*F4</f>
        <v>119</v>
      </c>
      <c r="P15" s="310"/>
    </row>
    <row r="16" spans="1:16" ht="16.5" hidden="1" thickBot="1" x14ac:dyDescent="0.3">
      <c r="A16" s="311"/>
      <c r="B16" s="416"/>
      <c r="C16" s="311"/>
      <c r="D16" s="311"/>
      <c r="E16" s="311"/>
      <c r="F16" s="311"/>
      <c r="G16" s="311"/>
      <c r="H16" s="311"/>
      <c r="I16" s="311"/>
      <c r="J16" s="311"/>
      <c r="K16" s="330" t="s">
        <v>35</v>
      </c>
      <c r="L16" s="53">
        <f>SUM((L8)*0.25)+(L15*0.15)</f>
        <v>300.47500000000002</v>
      </c>
      <c r="M16" s="53">
        <f>SUM((M8)*0.25)+(M15*0.15)</f>
        <v>166.25</v>
      </c>
      <c r="N16" s="331">
        <f>SUM((N8)*0.25)+(N15*0.15)</f>
        <v>300.47500000000002</v>
      </c>
      <c r="O16" s="331">
        <f>SUM((O8)*0.25)+(O15*0.15)</f>
        <v>166.25</v>
      </c>
      <c r="P16" s="310"/>
    </row>
    <row r="17" spans="1:16" ht="18.75" x14ac:dyDescent="0.3">
      <c r="A17" s="415"/>
      <c r="B17" s="311"/>
      <c r="C17" s="311"/>
      <c r="D17" s="311"/>
      <c r="E17" s="311"/>
      <c r="F17" s="311"/>
      <c r="G17" s="311"/>
      <c r="H17" s="311"/>
      <c r="I17" s="311"/>
      <c r="J17" s="309"/>
      <c r="K17" s="332" t="s">
        <v>39</v>
      </c>
      <c r="L17" s="333">
        <f>SUM(L8:L16)</f>
        <v>2249.4749999999999</v>
      </c>
      <c r="M17" s="334">
        <f>SUM(M8:M16)</f>
        <v>1578.35</v>
      </c>
      <c r="N17" s="335">
        <f>SUM(N8:N16)</f>
        <v>1696.9749999999999</v>
      </c>
      <c r="O17" s="336">
        <f>SUM(O8:O16)</f>
        <v>1025.8499999999999</v>
      </c>
      <c r="P17" s="310"/>
    </row>
    <row r="18" spans="1:16" ht="15.75" thickBot="1" x14ac:dyDescent="0.3">
      <c r="A18" s="417"/>
      <c r="B18" s="311"/>
      <c r="C18" s="311"/>
      <c r="D18" s="311"/>
      <c r="E18" s="311"/>
      <c r="F18" s="311"/>
      <c r="G18" s="311"/>
      <c r="H18" s="311"/>
      <c r="I18" s="311"/>
      <c r="J18" s="311"/>
      <c r="K18" s="337" t="s">
        <v>40</v>
      </c>
      <c r="L18" s="267">
        <f>SUM(L8+L12+L13)*H5/100</f>
        <v>177</v>
      </c>
      <c r="M18" s="58">
        <f>SUM(M8+M12+M13)*H5/100</f>
        <v>123.31</v>
      </c>
      <c r="N18" s="338">
        <f>SUM(N8+N12+N13)*H5/100</f>
        <v>121.75</v>
      </c>
      <c r="O18" s="60">
        <f>SUM(O8+O12+O13)*H5/100</f>
        <v>68.06</v>
      </c>
      <c r="P18" s="310"/>
    </row>
    <row r="19" spans="1:16" ht="15.75" thickBot="1" x14ac:dyDescent="0.3">
      <c r="A19" s="417"/>
      <c r="B19" s="311"/>
      <c r="C19" s="311"/>
      <c r="D19" s="311"/>
      <c r="E19" s="311"/>
      <c r="F19" s="311"/>
      <c r="G19" s="311"/>
      <c r="H19" s="311"/>
      <c r="I19" s="311"/>
      <c r="J19" s="311"/>
      <c r="K19" s="339" t="s">
        <v>41</v>
      </c>
      <c r="L19" s="53">
        <f>SUM(L17-L18)</f>
        <v>2072.4749999999999</v>
      </c>
      <c r="M19" s="54">
        <f>SUM(M17-M18)</f>
        <v>1455.04</v>
      </c>
      <c r="N19" s="331">
        <f>SUM(N17-N18)</f>
        <v>1575.2249999999999</v>
      </c>
      <c r="O19" s="55">
        <f>SUM(O17-O18)</f>
        <v>957.79</v>
      </c>
      <c r="P19" s="310"/>
    </row>
    <row r="20" spans="1:16" ht="21.75" thickBot="1" x14ac:dyDescent="0.4">
      <c r="A20" s="556" t="s">
        <v>42</v>
      </c>
      <c r="B20" s="557"/>
      <c r="C20" s="557"/>
      <c r="D20" s="557"/>
      <c r="E20" s="558"/>
      <c r="F20" s="559" t="s">
        <v>43</v>
      </c>
      <c r="G20" s="560"/>
      <c r="H20" s="560"/>
      <c r="I20" s="560"/>
      <c r="J20" s="561"/>
      <c r="K20" s="562" t="s">
        <v>45</v>
      </c>
      <c r="L20" s="563"/>
      <c r="M20" s="563"/>
      <c r="N20" s="563"/>
      <c r="O20" s="563"/>
      <c r="P20" s="310"/>
    </row>
    <row r="21" spans="1:16" ht="19.5" thickBot="1" x14ac:dyDescent="0.35">
      <c r="A21" s="340"/>
      <c r="B21" s="565" t="s">
        <v>4</v>
      </c>
      <c r="C21" s="566"/>
      <c r="D21" s="567" t="s">
        <v>5</v>
      </c>
      <c r="E21" s="568"/>
      <c r="F21" s="9"/>
      <c r="G21" s="569" t="s">
        <v>4</v>
      </c>
      <c r="H21" s="570"/>
      <c r="I21" s="571" t="s">
        <v>5</v>
      </c>
      <c r="J21" s="572"/>
      <c r="K21" s="341"/>
      <c r="L21" s="543" t="s">
        <v>4</v>
      </c>
      <c r="M21" s="544"/>
      <c r="N21" s="545" t="s">
        <v>5</v>
      </c>
      <c r="O21" s="546"/>
      <c r="P21" s="310"/>
    </row>
    <row r="22" spans="1:16" x14ac:dyDescent="0.25">
      <c r="A22" s="342"/>
      <c r="B22" s="68" t="s">
        <v>7</v>
      </c>
      <c r="C22" s="69" t="s">
        <v>8</v>
      </c>
      <c r="D22" s="70" t="s">
        <v>7</v>
      </c>
      <c r="E22" s="71" t="s">
        <v>8</v>
      </c>
      <c r="F22" s="67"/>
      <c r="G22" s="343" t="s">
        <v>7</v>
      </c>
      <c r="H22" s="73" t="s">
        <v>8</v>
      </c>
      <c r="I22" s="75" t="s">
        <v>7</v>
      </c>
      <c r="J22" s="76" t="s">
        <v>8</v>
      </c>
      <c r="K22" s="344"/>
      <c r="L22" s="345" t="s">
        <v>7</v>
      </c>
      <c r="M22" s="131" t="s">
        <v>8</v>
      </c>
      <c r="N22" s="346" t="s">
        <v>7</v>
      </c>
      <c r="O22" s="133" t="s">
        <v>8</v>
      </c>
      <c r="P22" s="310"/>
    </row>
    <row r="23" spans="1:16" ht="18" customHeight="1" x14ac:dyDescent="0.25">
      <c r="A23" s="342"/>
      <c r="B23" s="68" t="s">
        <v>44</v>
      </c>
      <c r="C23" s="78" t="s">
        <v>16</v>
      </c>
      <c r="D23" s="79" t="s">
        <v>17</v>
      </c>
      <c r="E23" s="80" t="s">
        <v>17</v>
      </c>
      <c r="F23" s="81"/>
      <c r="G23" s="347" t="s">
        <v>15</v>
      </c>
      <c r="H23" s="83" t="s">
        <v>16</v>
      </c>
      <c r="I23" s="84" t="s">
        <v>17</v>
      </c>
      <c r="J23" s="85" t="s">
        <v>17</v>
      </c>
      <c r="K23" s="348"/>
      <c r="L23" s="349" t="s">
        <v>15</v>
      </c>
      <c r="M23" s="136" t="s">
        <v>16</v>
      </c>
      <c r="N23" s="350" t="s">
        <v>17</v>
      </c>
      <c r="O23" s="138" t="s">
        <v>17</v>
      </c>
      <c r="P23" s="310"/>
    </row>
    <row r="24" spans="1:16" hidden="1" x14ac:dyDescent="0.25">
      <c r="A24" s="351" t="s">
        <v>20</v>
      </c>
      <c r="B24" s="87">
        <f>SUM(D39*F4)</f>
        <v>1413.0900000000001</v>
      </c>
      <c r="C24" s="88">
        <f>SUM((E39)*F4)/2</f>
        <v>735</v>
      </c>
      <c r="D24" s="89">
        <f>SUM((D39)*F4)</f>
        <v>1413.0900000000001</v>
      </c>
      <c r="E24" s="90">
        <f>SUM((E39)*F4)/2</f>
        <v>735</v>
      </c>
      <c r="F24" s="28" t="s">
        <v>20</v>
      </c>
      <c r="G24" s="352">
        <f>SUM((D40)*F4)</f>
        <v>1554</v>
      </c>
      <c r="H24" s="92">
        <f>SUM((E40)*F4)/2</f>
        <v>805.35</v>
      </c>
      <c r="I24" s="93">
        <f>SUM(D40*F4)</f>
        <v>1554</v>
      </c>
      <c r="J24" s="94">
        <f>SUM((E40)*F4)/2</f>
        <v>805.35</v>
      </c>
      <c r="K24" s="28" t="s">
        <v>20</v>
      </c>
      <c r="L24" s="353">
        <f>SUM((D41)*F4)</f>
        <v>1695.75</v>
      </c>
      <c r="M24" s="141">
        <f>SUM((E41)*F4)/2</f>
        <v>876.12</v>
      </c>
      <c r="N24" s="354">
        <f>SUM((D41)*F4)</f>
        <v>1695.75</v>
      </c>
      <c r="O24" s="143">
        <f>SUM((E41)*F4)/2</f>
        <v>876.12</v>
      </c>
      <c r="P24" s="310"/>
    </row>
    <row r="25" spans="1:16" hidden="1" x14ac:dyDescent="0.25">
      <c r="A25" s="351"/>
      <c r="B25" s="97"/>
      <c r="C25" s="98"/>
      <c r="D25" s="99"/>
      <c r="E25" s="100"/>
      <c r="F25" s="28"/>
      <c r="G25" s="355"/>
      <c r="H25" s="102"/>
      <c r="I25" s="103"/>
      <c r="J25" s="104"/>
      <c r="K25" s="28"/>
      <c r="L25" s="356"/>
      <c r="M25" s="145"/>
      <c r="N25" s="357"/>
      <c r="O25" s="147"/>
      <c r="P25" s="310"/>
    </row>
    <row r="26" spans="1:16" hidden="1" x14ac:dyDescent="0.25">
      <c r="A26" s="351"/>
      <c r="B26" s="68"/>
      <c r="C26" s="98"/>
      <c r="D26" s="105"/>
      <c r="E26" s="106"/>
      <c r="F26" s="28"/>
      <c r="G26" s="358"/>
      <c r="H26" s="108"/>
      <c r="I26" s="109"/>
      <c r="J26" s="110"/>
      <c r="K26" s="28"/>
      <c r="L26" s="356"/>
      <c r="M26" s="148"/>
      <c r="N26" s="357"/>
      <c r="O26" s="149"/>
      <c r="P26" s="310"/>
    </row>
    <row r="27" spans="1:16" hidden="1" x14ac:dyDescent="0.25">
      <c r="A27" s="351"/>
      <c r="B27" s="97"/>
      <c r="C27" s="98"/>
      <c r="D27" s="99"/>
      <c r="E27" s="100"/>
      <c r="F27" s="28"/>
      <c r="G27" s="355"/>
      <c r="H27" s="102"/>
      <c r="I27" s="103"/>
      <c r="J27" s="104"/>
      <c r="K27" s="28"/>
      <c r="L27" s="356"/>
      <c r="M27" s="145"/>
      <c r="N27" s="357"/>
      <c r="O27" s="147"/>
      <c r="P27" s="310"/>
    </row>
    <row r="28" spans="1:16" hidden="1" x14ac:dyDescent="0.25">
      <c r="A28" s="351" t="s">
        <v>15</v>
      </c>
      <c r="B28" s="409">
        <f>SUM(E42*F5)</f>
        <v>552.5</v>
      </c>
      <c r="C28" s="88">
        <f>SUM(E42*F5)</f>
        <v>552.5</v>
      </c>
      <c r="D28" s="89">
        <v>0</v>
      </c>
      <c r="E28" s="90">
        <v>0</v>
      </c>
      <c r="F28" s="28" t="s">
        <v>15</v>
      </c>
      <c r="G28" s="352">
        <f>SUM(E42*F5)</f>
        <v>552.5</v>
      </c>
      <c r="H28" s="92">
        <f>SUM(E42*F5)</f>
        <v>552.5</v>
      </c>
      <c r="I28" s="93">
        <v>0</v>
      </c>
      <c r="J28" s="94">
        <v>0</v>
      </c>
      <c r="K28" s="28" t="s">
        <v>15</v>
      </c>
      <c r="L28" s="353">
        <f>SUM(E42*F5)</f>
        <v>552.5</v>
      </c>
      <c r="M28" s="141">
        <f>SUM(E42*F5)</f>
        <v>552.5</v>
      </c>
      <c r="N28" s="354">
        <v>0</v>
      </c>
      <c r="O28" s="143">
        <v>0</v>
      </c>
      <c r="P28" s="310"/>
    </row>
    <row r="29" spans="1:16" hidden="1" x14ac:dyDescent="0.25">
      <c r="A29" s="351" t="s">
        <v>4</v>
      </c>
      <c r="B29" s="409">
        <f>SUM(E43)</f>
        <v>87</v>
      </c>
      <c r="C29" s="88">
        <f>SUM(E43)</f>
        <v>87</v>
      </c>
      <c r="D29" s="89">
        <f>SUM(E43)</f>
        <v>87</v>
      </c>
      <c r="E29" s="90">
        <f>SUM(E43)</f>
        <v>87</v>
      </c>
      <c r="F29" s="351" t="s">
        <v>4</v>
      </c>
      <c r="G29" s="352">
        <f>SUM(E43)</f>
        <v>87</v>
      </c>
      <c r="H29" s="92">
        <f>SUM(E43)</f>
        <v>87</v>
      </c>
      <c r="I29" s="93">
        <f>SUM(E43)</f>
        <v>87</v>
      </c>
      <c r="J29" s="94">
        <f>SUM(E43)</f>
        <v>87</v>
      </c>
      <c r="K29" s="351" t="s">
        <v>4</v>
      </c>
      <c r="L29" s="353">
        <f>SUM(E43)</f>
        <v>87</v>
      </c>
      <c r="M29" s="141">
        <f>SUM(E43)</f>
        <v>87</v>
      </c>
      <c r="N29" s="354">
        <f>SUM(E43)</f>
        <v>87</v>
      </c>
      <c r="O29" s="143">
        <f>SUM(E43)</f>
        <v>87</v>
      </c>
      <c r="P29" s="310"/>
    </row>
    <row r="30" spans="1:16" hidden="1" x14ac:dyDescent="0.25">
      <c r="A30" s="351" t="s">
        <v>34</v>
      </c>
      <c r="B30" s="409">
        <f>SUM(E44)</f>
        <v>60</v>
      </c>
      <c r="C30" s="88">
        <f>SUM(E44)</f>
        <v>60</v>
      </c>
      <c r="D30" s="89">
        <f>SUM(E44)</f>
        <v>60</v>
      </c>
      <c r="E30" s="90">
        <f>SUM(B30)</f>
        <v>60</v>
      </c>
      <c r="F30" s="28" t="s">
        <v>34</v>
      </c>
      <c r="G30" s="352">
        <f>SUM(E44)</f>
        <v>60</v>
      </c>
      <c r="H30" s="92">
        <f>SUM(E44)</f>
        <v>60</v>
      </c>
      <c r="I30" s="93">
        <f>SUM(E44)</f>
        <v>60</v>
      </c>
      <c r="J30" s="94">
        <f>SUM(E44)</f>
        <v>60</v>
      </c>
      <c r="K30" s="28" t="s">
        <v>34</v>
      </c>
      <c r="L30" s="353">
        <f>SUM(E44)</f>
        <v>60</v>
      </c>
      <c r="M30" s="141">
        <f>SUM(E44)</f>
        <v>60</v>
      </c>
      <c r="N30" s="354">
        <f>SUM(E44)</f>
        <v>60</v>
      </c>
      <c r="O30" s="143">
        <f>SUM(E44)</f>
        <v>60</v>
      </c>
      <c r="P30" s="310"/>
    </row>
    <row r="31" spans="1:16" hidden="1" x14ac:dyDescent="0.25">
      <c r="A31" s="351" t="s">
        <v>37</v>
      </c>
      <c r="B31" s="409">
        <f>SUM(E45)*F4</f>
        <v>119</v>
      </c>
      <c r="C31" s="88">
        <f>SUM(E45)*F4</f>
        <v>119</v>
      </c>
      <c r="D31" s="89">
        <f>SUM(E45)*F4</f>
        <v>119</v>
      </c>
      <c r="E31" s="90">
        <f>SUM(E45)*F4</f>
        <v>119</v>
      </c>
      <c r="F31" s="28" t="s">
        <v>37</v>
      </c>
      <c r="G31" s="352">
        <f>SUM(E45)*F4</f>
        <v>119</v>
      </c>
      <c r="H31" s="92">
        <f>SUM(E45)*F4</f>
        <v>119</v>
      </c>
      <c r="I31" s="116">
        <f>SUM(E45)*F4</f>
        <v>119</v>
      </c>
      <c r="J31" s="94">
        <f>SUM(E45)*F4</f>
        <v>119</v>
      </c>
      <c r="K31" s="28" t="s">
        <v>46</v>
      </c>
      <c r="L31" s="353">
        <f>SUM(E45)*F4</f>
        <v>119</v>
      </c>
      <c r="M31" s="141">
        <f>SUM(E45)*F4</f>
        <v>119</v>
      </c>
      <c r="N31" s="354">
        <f>SUM(E45)*F4</f>
        <v>119</v>
      </c>
      <c r="O31" s="143">
        <f>SUM(E45)*F4</f>
        <v>119</v>
      </c>
      <c r="P31" s="310"/>
    </row>
    <row r="32" spans="1:16" hidden="1" x14ac:dyDescent="0.25">
      <c r="A32" s="351" t="s">
        <v>35</v>
      </c>
      <c r="B32" s="410">
        <f>SUM((B24)*0.25)+(B31*0.15)</f>
        <v>371.12250000000006</v>
      </c>
      <c r="C32" s="410">
        <f>SUM((C24)*0.25)+(C31*0.15)</f>
        <v>201.6</v>
      </c>
      <c r="D32" s="411">
        <f>SUM((D24)*0.25)+(D31*0.15)</f>
        <v>371.12250000000006</v>
      </c>
      <c r="E32" s="411">
        <f>SUM((E24)*0.25)+(E31*0.15)</f>
        <v>201.6</v>
      </c>
      <c r="F32" s="28" t="s">
        <v>35</v>
      </c>
      <c r="G32" s="359">
        <f>SUM((G24)*0.25)+(G31*0.15)</f>
        <v>406.35</v>
      </c>
      <c r="H32" s="359">
        <f>SUM((H24)*0.25)+(H31*0.15)</f>
        <v>219.1875</v>
      </c>
      <c r="I32" s="360">
        <f>SUM((I24)*0.25)+(I31*0.15)</f>
        <v>406.35</v>
      </c>
      <c r="J32" s="360">
        <f>SUM((J24)*0.25)+(J31*0.15)</f>
        <v>219.1875</v>
      </c>
      <c r="K32" s="28" t="s">
        <v>35</v>
      </c>
      <c r="L32" s="361">
        <f>SUM((L24)*0.25)+(L31*0.15)</f>
        <v>441.78750000000002</v>
      </c>
      <c r="M32" s="361">
        <f>SUM((M24)*0.25)+(M31*0.15)</f>
        <v>236.88</v>
      </c>
      <c r="N32" s="362">
        <f>SUM((N24)*0.25)+(N31*0.15)</f>
        <v>441.78750000000002</v>
      </c>
      <c r="O32" s="362">
        <f>SUM((O24)*0.25)+(O31*0.15)</f>
        <v>236.88</v>
      </c>
      <c r="P32" s="310"/>
    </row>
    <row r="33" spans="1:16" ht="18.75" x14ac:dyDescent="0.3">
      <c r="A33" s="363" t="s">
        <v>39</v>
      </c>
      <c r="B33" s="364">
        <f>SUM(B24:B32)</f>
        <v>2602.7125000000001</v>
      </c>
      <c r="C33" s="365">
        <f>SUM(C24:C32)</f>
        <v>1755.1</v>
      </c>
      <c r="D33" s="366">
        <f>SUM(D24:D32)</f>
        <v>2050.2125000000001</v>
      </c>
      <c r="E33" s="367">
        <f>SUM(E24:E32)</f>
        <v>1202.5999999999999</v>
      </c>
      <c r="F33" s="368" t="s">
        <v>39</v>
      </c>
      <c r="G33" s="369">
        <f>SUM(G24:G32)</f>
        <v>2778.85</v>
      </c>
      <c r="H33" s="122">
        <f>SUM(H24:H32)</f>
        <v>1843.0374999999999</v>
      </c>
      <c r="I33" s="370">
        <f>SUM(I24:I32)</f>
        <v>2226.35</v>
      </c>
      <c r="J33" s="371">
        <f>SUM(J24:J32)</f>
        <v>1290.5374999999999</v>
      </c>
      <c r="K33" s="368" t="s">
        <v>39</v>
      </c>
      <c r="L33" s="372">
        <f>SUM(L24:L32)</f>
        <v>2956.0374999999999</v>
      </c>
      <c r="M33" s="373">
        <f>SUM(M24:M32)</f>
        <v>1931.5</v>
      </c>
      <c r="N33" s="374">
        <f>SUM(N24:N32)</f>
        <v>2403.5374999999999</v>
      </c>
      <c r="O33" s="375">
        <f>SUM(O24:O32)</f>
        <v>1379</v>
      </c>
      <c r="P33" s="310"/>
    </row>
    <row r="34" spans="1:16" ht="15.75" thickBot="1" x14ac:dyDescent="0.3">
      <c r="A34" s="376" t="s">
        <v>40</v>
      </c>
      <c r="B34" s="377">
        <f>SUM(B24+B28+B29)*H5/100</f>
        <v>205.25900000000001</v>
      </c>
      <c r="C34" s="378">
        <f>SUM(C24+C28+C29)*H5/100</f>
        <v>137.44999999999999</v>
      </c>
      <c r="D34" s="379">
        <f>SUM(D24+D28+D29)*H5/100</f>
        <v>150.00900000000001</v>
      </c>
      <c r="E34" s="380">
        <f>SUM(E24+E28+E29)*H5/100</f>
        <v>82.2</v>
      </c>
      <c r="F34" s="28" t="s">
        <v>40</v>
      </c>
      <c r="G34" s="381">
        <f>SUM(G24+G28+G29)*H5/100</f>
        <v>219.35</v>
      </c>
      <c r="H34" s="382">
        <f>SUM(H24+H28+H29)*H5/100</f>
        <v>144.48500000000001</v>
      </c>
      <c r="I34" s="383">
        <f>SUM(I24+I28+I29)*H5/100</f>
        <v>164.1</v>
      </c>
      <c r="J34" s="384">
        <f>SUM(J24+J28+J29)*H5/100</f>
        <v>89.234999999999999</v>
      </c>
      <c r="K34" s="124" t="s">
        <v>40</v>
      </c>
      <c r="L34" s="385">
        <f>SUM(L24+L28+L29)*H5/100</f>
        <v>233.52500000000001</v>
      </c>
      <c r="M34" s="386">
        <f>SUM(M24+M28+M29)*H5/100</f>
        <v>151.56199999999998</v>
      </c>
      <c r="N34" s="387">
        <f>SUM(N24+N28+N29)*H5/100</f>
        <v>178.27500000000001</v>
      </c>
      <c r="O34" s="388">
        <f>SUM(O24+O28+O29)*H5/100</f>
        <v>96.312000000000012</v>
      </c>
      <c r="P34" s="310"/>
    </row>
    <row r="35" spans="1:16" ht="15.75" thickBot="1" x14ac:dyDescent="0.3">
      <c r="A35" s="363" t="s">
        <v>41</v>
      </c>
      <c r="B35" s="389">
        <f>SUM(B33-B34)</f>
        <v>2397.4535000000001</v>
      </c>
      <c r="C35" s="390">
        <f>SUM(C33-C34)</f>
        <v>1617.6499999999999</v>
      </c>
      <c r="D35" s="391">
        <f>SUM(D33-D34)</f>
        <v>1900.2035000000001</v>
      </c>
      <c r="E35" s="392">
        <f>SUM(E33-E34)</f>
        <v>1120.3999999999999</v>
      </c>
      <c r="F35" s="393" t="s">
        <v>41</v>
      </c>
      <c r="G35" s="394">
        <f>SUM(G33-G34)</f>
        <v>2559.5</v>
      </c>
      <c r="H35" s="127">
        <f>SUM(H33-H34)</f>
        <v>1698.5524999999998</v>
      </c>
      <c r="I35" s="395">
        <f>SUM(I33-I34)</f>
        <v>2062.25</v>
      </c>
      <c r="J35" s="94">
        <f>SUM(J33-J34)</f>
        <v>1201.3025</v>
      </c>
      <c r="K35" s="393" t="s">
        <v>41</v>
      </c>
      <c r="L35" s="396">
        <f>SUM(L33-L34)</f>
        <v>2722.5124999999998</v>
      </c>
      <c r="M35" s="397">
        <f>SUM(M33-M34)</f>
        <v>1779.9380000000001</v>
      </c>
      <c r="N35" s="398">
        <f>SUM(N33-N34)</f>
        <v>2225.2624999999998</v>
      </c>
      <c r="O35" s="388">
        <f>SUM(O33-O34)</f>
        <v>1282.6880000000001</v>
      </c>
      <c r="P35" s="310"/>
    </row>
    <row r="36" spans="1:16" ht="24.95" customHeight="1" x14ac:dyDescent="0.25">
      <c r="A36" s="311"/>
      <c r="B36" s="419"/>
      <c r="C36" s="311"/>
      <c r="D36" s="311"/>
      <c r="E36" s="311"/>
      <c r="F36" s="311"/>
      <c r="G36" s="311"/>
      <c r="H36" s="311"/>
      <c r="I36" s="419"/>
      <c r="J36" s="310"/>
      <c r="K36" s="310"/>
      <c r="L36" s="310"/>
      <c r="M36" s="310"/>
      <c r="N36" s="310"/>
      <c r="O36" s="310"/>
      <c r="P36" s="310"/>
    </row>
    <row r="37" spans="1:16" ht="16.5" hidden="1" customHeight="1" x14ac:dyDescent="0.25">
      <c r="A37" s="311"/>
      <c r="B37" s="399"/>
      <c r="C37" s="317" t="s">
        <v>6</v>
      </c>
      <c r="D37" s="400" t="s">
        <v>7</v>
      </c>
      <c r="E37" s="400" t="s">
        <v>8</v>
      </c>
      <c r="F37" s="400" t="s">
        <v>9</v>
      </c>
      <c r="G37" s="400" t="s">
        <v>10</v>
      </c>
      <c r="H37" s="311"/>
      <c r="I37" s="564" t="s">
        <v>14</v>
      </c>
      <c r="J37" s="564"/>
      <c r="K37" s="415"/>
      <c r="L37" s="311"/>
      <c r="M37" s="311"/>
      <c r="N37" s="310"/>
      <c r="O37" s="310"/>
      <c r="P37" s="310"/>
    </row>
    <row r="38" spans="1:16" hidden="1" x14ac:dyDescent="0.25">
      <c r="A38" s="311"/>
      <c r="B38" s="401" t="s">
        <v>12</v>
      </c>
      <c r="C38" s="15" t="s">
        <v>13</v>
      </c>
      <c r="D38" s="16">
        <v>161.5</v>
      </c>
      <c r="E38" s="17">
        <v>169.6</v>
      </c>
      <c r="F38" s="17">
        <v>177.65</v>
      </c>
      <c r="G38" s="18">
        <v>185.72</v>
      </c>
      <c r="H38" s="311"/>
      <c r="I38" s="437" t="s">
        <v>19</v>
      </c>
      <c r="J38" s="440">
        <v>30</v>
      </c>
      <c r="K38" s="415"/>
      <c r="L38" s="311"/>
      <c r="M38" s="311"/>
      <c r="N38" s="310"/>
      <c r="O38" s="310"/>
      <c r="P38" s="310"/>
    </row>
    <row r="39" spans="1:16" hidden="1" x14ac:dyDescent="0.25">
      <c r="A39" s="311"/>
      <c r="B39" s="401" t="s">
        <v>12</v>
      </c>
      <c r="C39" s="23" t="s">
        <v>18</v>
      </c>
      <c r="D39" s="24">
        <v>201.87</v>
      </c>
      <c r="E39" s="25">
        <v>210</v>
      </c>
      <c r="F39" s="25">
        <v>218</v>
      </c>
      <c r="G39" s="26">
        <v>226.1</v>
      </c>
      <c r="H39" s="311"/>
      <c r="I39" s="437" t="s">
        <v>22</v>
      </c>
      <c r="J39" s="440">
        <v>0</v>
      </c>
      <c r="K39" s="311"/>
      <c r="L39" s="311"/>
      <c r="M39" s="311"/>
      <c r="N39" s="310"/>
      <c r="O39" s="310"/>
      <c r="P39" s="310"/>
    </row>
    <row r="40" spans="1:16" hidden="1" x14ac:dyDescent="0.25">
      <c r="A40" s="311"/>
      <c r="B40" s="401" t="s">
        <v>12</v>
      </c>
      <c r="C40" s="33" t="s">
        <v>21</v>
      </c>
      <c r="D40" s="34">
        <v>222</v>
      </c>
      <c r="E40" s="35">
        <v>230.1</v>
      </c>
      <c r="F40" s="35">
        <v>238.2</v>
      </c>
      <c r="G40" s="36">
        <v>246.28</v>
      </c>
      <c r="H40" s="311"/>
      <c r="I40" s="437" t="s">
        <v>24</v>
      </c>
      <c r="J40" s="440">
        <v>10</v>
      </c>
      <c r="K40" s="417"/>
      <c r="L40" s="311"/>
      <c r="M40" s="311"/>
      <c r="N40" s="310"/>
      <c r="O40" s="310"/>
      <c r="P40" s="310"/>
    </row>
    <row r="41" spans="1:16" hidden="1" x14ac:dyDescent="0.25">
      <c r="A41" s="311"/>
      <c r="B41" s="401" t="s">
        <v>12</v>
      </c>
      <c r="C41" s="41" t="s">
        <v>23</v>
      </c>
      <c r="D41" s="42">
        <v>242.25</v>
      </c>
      <c r="E41" s="43">
        <v>250.32</v>
      </c>
      <c r="F41" s="43">
        <v>258.39999999999998</v>
      </c>
      <c r="G41" s="44">
        <v>266.5</v>
      </c>
      <c r="H41" s="311"/>
      <c r="I41" s="442" t="s">
        <v>57</v>
      </c>
      <c r="J41" s="440">
        <v>20</v>
      </c>
      <c r="K41" s="417"/>
      <c r="L41" s="311"/>
      <c r="M41" s="311"/>
      <c r="N41" s="310"/>
      <c r="O41" s="310"/>
      <c r="P41" s="310"/>
    </row>
    <row r="42" spans="1:16" hidden="1" x14ac:dyDescent="0.25">
      <c r="A42" s="311"/>
      <c r="B42" s="402" t="s">
        <v>12</v>
      </c>
      <c r="C42" s="48" t="s">
        <v>26</v>
      </c>
      <c r="D42" s="49"/>
      <c r="E42" s="403">
        <v>110.5</v>
      </c>
      <c r="F42" s="423" t="s">
        <v>27</v>
      </c>
      <c r="G42" s="310"/>
      <c r="H42" s="311"/>
      <c r="I42" s="438"/>
      <c r="J42" s="440">
        <v>0</v>
      </c>
      <c r="K42" s="310"/>
      <c r="L42" s="311"/>
      <c r="M42" s="311"/>
      <c r="N42" s="310"/>
      <c r="O42" s="310"/>
      <c r="P42" s="310"/>
    </row>
    <row r="43" spans="1:16" hidden="1" x14ac:dyDescent="0.25">
      <c r="A43" s="311"/>
      <c r="B43" s="404"/>
      <c r="C43" s="405" t="s">
        <v>71</v>
      </c>
      <c r="D43" s="406"/>
      <c r="E43" s="407">
        <v>87</v>
      </c>
      <c r="F43" s="428"/>
      <c r="G43" s="310"/>
      <c r="H43" s="311"/>
      <c r="I43" s="438" t="s">
        <v>59</v>
      </c>
      <c r="J43" s="440">
        <v>10</v>
      </c>
      <c r="K43" s="310"/>
      <c r="L43" s="311"/>
      <c r="M43" s="311"/>
      <c r="N43" s="310"/>
      <c r="O43" s="310"/>
      <c r="P43" s="310"/>
    </row>
    <row r="44" spans="1:16" hidden="1" x14ac:dyDescent="0.25">
      <c r="A44" s="311"/>
      <c r="B44" s="420" t="s">
        <v>28</v>
      </c>
      <c r="C44" s="421" t="s">
        <v>14</v>
      </c>
      <c r="D44" s="49"/>
      <c r="E44" s="422">
        <v>60</v>
      </c>
      <c r="F44" s="423" t="s">
        <v>29</v>
      </c>
      <c r="G44" s="310"/>
      <c r="H44" s="311"/>
      <c r="I44" s="438" t="s">
        <v>64</v>
      </c>
      <c r="J44" s="441">
        <v>10</v>
      </c>
      <c r="K44" s="310"/>
      <c r="L44" s="310"/>
      <c r="M44" s="310"/>
      <c r="N44" s="310"/>
      <c r="O44" s="310"/>
      <c r="P44" s="310"/>
    </row>
    <row r="45" spans="1:16" hidden="1" x14ac:dyDescent="0.25">
      <c r="A45" s="311"/>
      <c r="B45" s="424" t="s">
        <v>28</v>
      </c>
      <c r="C45" s="7" t="s">
        <v>31</v>
      </c>
      <c r="D45" s="7"/>
      <c r="E45" s="198">
        <v>17</v>
      </c>
      <c r="F45" s="425" t="s">
        <v>32</v>
      </c>
      <c r="G45" s="310"/>
      <c r="H45" s="311"/>
      <c r="I45" s="438"/>
      <c r="J45" s="441">
        <v>0</v>
      </c>
      <c r="K45" s="310"/>
      <c r="L45" s="310"/>
      <c r="M45" s="310"/>
      <c r="N45" s="310"/>
      <c r="O45" s="310"/>
      <c r="P45" s="310"/>
    </row>
    <row r="46" spans="1:16" hidden="1" x14ac:dyDescent="0.25">
      <c r="A46" s="311"/>
      <c r="B46" s="426" t="s">
        <v>28</v>
      </c>
      <c r="C46" s="406" t="s">
        <v>35</v>
      </c>
      <c r="D46" s="427" t="s">
        <v>73</v>
      </c>
      <c r="E46" s="427"/>
      <c r="F46" s="428"/>
      <c r="G46" s="310"/>
      <c r="H46" s="311"/>
      <c r="I46" s="438" t="s">
        <v>66</v>
      </c>
      <c r="J46" s="441">
        <v>57</v>
      </c>
      <c r="K46" s="310"/>
      <c r="L46" s="310"/>
      <c r="M46" s="310"/>
      <c r="N46" s="310"/>
      <c r="O46" s="310"/>
      <c r="P46" s="310"/>
    </row>
    <row r="47" spans="1:16" x14ac:dyDescent="0.25">
      <c r="A47" s="310"/>
      <c r="B47" s="310"/>
      <c r="C47" s="310"/>
      <c r="D47" s="310"/>
      <c r="E47" s="310"/>
      <c r="F47" s="310"/>
      <c r="G47" s="310"/>
      <c r="H47" s="310"/>
      <c r="I47" s="310"/>
      <c r="J47" s="537"/>
      <c r="K47" s="310"/>
      <c r="L47" s="310"/>
      <c r="M47" s="310"/>
      <c r="N47" s="310"/>
      <c r="O47" s="310"/>
      <c r="P47" s="310"/>
    </row>
    <row r="48" spans="1:16" ht="21" x14ac:dyDescent="0.35">
      <c r="A48" s="453" t="s">
        <v>83</v>
      </c>
      <c r="B48" s="452"/>
      <c r="C48" s="452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</row>
    <row r="49" spans="1:16" ht="21" x14ac:dyDescent="0.35">
      <c r="A49" s="453"/>
      <c r="B49" s="452"/>
      <c r="C49" s="452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</row>
    <row r="50" spans="1:16" ht="21" x14ac:dyDescent="0.35">
      <c r="A50" s="452"/>
      <c r="B50" s="452"/>
      <c r="C50" s="452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</row>
    <row r="51" spans="1:16" ht="21" x14ac:dyDescent="0.35">
      <c r="A51" s="453"/>
      <c r="B51" s="452"/>
      <c r="C51" s="452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</row>
    <row r="52" spans="1:16" x14ac:dyDescent="0.25">
      <c r="A52" s="310"/>
      <c r="B52" s="310"/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</row>
    <row r="53" spans="1:16" x14ac:dyDescent="0.25">
      <c r="A53" s="310"/>
      <c r="B53" s="310"/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</row>
    <row r="54" spans="1:16" x14ac:dyDescent="0.25">
      <c r="A54" s="310"/>
      <c r="B54" s="310"/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</row>
    <row r="55" spans="1:16" x14ac:dyDescent="0.25">
      <c r="A55" s="310"/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</row>
  </sheetData>
  <sheetProtection algorithmName="SHA-512" hashValue="nNEZYqH1fMtMP/wEzVAowPCLzuh7NOdp1Y7HD6Khyifnb3T8t6DlQxjJ5t3bsNv7yaTMAy8q9FbQVXQW1n9DGA==" saltValue="rUKkBHC7r16KWreIYQRgRA==" spinCount="100000" sheet="1" objects="1" scenarios="1"/>
  <mergeCells count="14">
    <mergeCell ref="N21:O21"/>
    <mergeCell ref="B1:E1"/>
    <mergeCell ref="K4:O4"/>
    <mergeCell ref="L5:M5"/>
    <mergeCell ref="N5:O5"/>
    <mergeCell ref="A20:E20"/>
    <mergeCell ref="F20:J20"/>
    <mergeCell ref="K20:O20"/>
    <mergeCell ref="L21:M21"/>
    <mergeCell ref="I37:J37"/>
    <mergeCell ref="B21:C21"/>
    <mergeCell ref="D21:E21"/>
    <mergeCell ref="G21:H21"/>
    <mergeCell ref="I21:J21"/>
  </mergeCells>
  <conditionalFormatting sqref="H5">
    <cfRule type="cellIs" dxfId="11" priority="4" operator="greaterThan">
      <formula>20</formula>
    </cfRule>
  </conditionalFormatting>
  <conditionalFormatting sqref="F4">
    <cfRule type="cellIs" dxfId="10" priority="2" operator="lessThan">
      <formula>5</formula>
    </cfRule>
    <cfRule type="cellIs" dxfId="9" priority="3" operator="lessThan">
      <formula>5</formula>
    </cfRule>
  </conditionalFormatting>
  <conditionalFormatting sqref="F5">
    <cfRule type="cellIs" dxfId="8" priority="1" operator="lessThan">
      <formula>4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9043C-EB3E-4A03-928E-B1D08FFA561B}">
  <sheetPr>
    <tabColor theme="9" tint="-0.249977111117893"/>
  </sheetPr>
  <dimension ref="A1:P55"/>
  <sheetViews>
    <sheetView workbookViewId="0">
      <selection activeCell="A37" sqref="A37:XFD46"/>
    </sheetView>
  </sheetViews>
  <sheetFormatPr defaultColWidth="11.42578125" defaultRowHeight="15" x14ac:dyDescent="0.25"/>
  <cols>
    <col min="2" max="2" width="18.85546875" customWidth="1"/>
    <col min="3" max="3" width="19.7109375" customWidth="1"/>
    <col min="4" max="4" width="16.28515625" customWidth="1"/>
    <col min="5" max="5" width="19.28515625" customWidth="1"/>
    <col min="6" max="6" width="18.42578125" customWidth="1"/>
    <col min="7" max="7" width="14.85546875" customWidth="1"/>
    <col min="8" max="8" width="15.28515625" customWidth="1"/>
    <col min="9" max="9" width="16.5703125" customWidth="1"/>
    <col min="10" max="10" width="15.28515625" customWidth="1"/>
    <col min="11" max="11" width="17.28515625" customWidth="1"/>
    <col min="12" max="12" width="15.28515625" customWidth="1"/>
    <col min="13" max="14" width="14.85546875" customWidth="1"/>
    <col min="15" max="15" width="14.5703125" customWidth="1"/>
  </cols>
  <sheetData>
    <row r="1" spans="1:16" ht="33.950000000000003" customHeight="1" thickBot="1" x14ac:dyDescent="0.55000000000000004">
      <c r="A1" s="454"/>
      <c r="B1" s="547" t="s">
        <v>87</v>
      </c>
      <c r="C1" s="548"/>
      <c r="D1" s="548"/>
      <c r="E1" s="549"/>
      <c r="F1" s="484" t="s">
        <v>86</v>
      </c>
      <c r="G1" s="454"/>
      <c r="H1" s="454"/>
      <c r="I1" s="454"/>
      <c r="J1" s="454"/>
      <c r="K1" s="454"/>
      <c r="L1" s="485"/>
      <c r="M1" s="485"/>
      <c r="N1" s="485"/>
      <c r="O1" s="485"/>
      <c r="P1" s="454"/>
    </row>
    <row r="2" spans="1:16" ht="32.1" customHeight="1" x14ac:dyDescent="0.4">
      <c r="A2" s="483" t="s">
        <v>60</v>
      </c>
      <c r="B2" s="458"/>
      <c r="C2" s="458"/>
      <c r="D2" s="454"/>
      <c r="E2" s="466"/>
      <c r="F2" s="467"/>
      <c r="G2" s="454"/>
      <c r="H2" s="454"/>
      <c r="I2" s="454"/>
      <c r="J2" s="454"/>
      <c r="K2" s="454"/>
      <c r="L2" s="468"/>
      <c r="M2" s="468"/>
      <c r="N2" s="468"/>
      <c r="O2" s="468"/>
      <c r="P2" s="454"/>
    </row>
    <row r="3" spans="1:16" ht="18.75" customHeight="1" thickBot="1" x14ac:dyDescent="0.3">
      <c r="A3" s="489" t="s">
        <v>56</v>
      </c>
      <c r="B3" s="454"/>
      <c r="C3" s="454"/>
      <c r="D3" s="454"/>
      <c r="E3" s="466"/>
      <c r="F3" s="467"/>
      <c r="G3" s="454"/>
      <c r="H3" s="454"/>
      <c r="I3" s="454"/>
      <c r="J3" s="454"/>
      <c r="K3" s="454"/>
      <c r="L3" s="454"/>
      <c r="M3" s="454"/>
      <c r="N3" s="454"/>
      <c r="O3" s="454"/>
      <c r="P3" s="454"/>
    </row>
    <row r="4" spans="1:16" ht="22.5" customHeight="1" thickBot="1" x14ac:dyDescent="0.4">
      <c r="A4" s="459"/>
      <c r="B4" s="456"/>
      <c r="C4" s="456"/>
      <c r="D4" s="456"/>
      <c r="E4" s="313" t="s">
        <v>0</v>
      </c>
      <c r="F4" s="314">
        <v>7</v>
      </c>
      <c r="G4" s="454"/>
      <c r="H4" s="315" t="s">
        <v>63</v>
      </c>
      <c r="I4" s="175"/>
      <c r="J4" s="454"/>
      <c r="K4" s="550" t="s">
        <v>1</v>
      </c>
      <c r="L4" s="551"/>
      <c r="M4" s="551"/>
      <c r="N4" s="551"/>
      <c r="O4" s="551"/>
      <c r="P4" s="454"/>
    </row>
    <row r="5" spans="1:16" ht="34.5" thickBot="1" x14ac:dyDescent="0.55000000000000004">
      <c r="A5" s="456"/>
      <c r="B5" s="456"/>
      <c r="C5" s="456"/>
      <c r="D5" s="456"/>
      <c r="E5" s="4" t="s">
        <v>2</v>
      </c>
      <c r="F5" s="316">
        <v>5</v>
      </c>
      <c r="G5" s="458"/>
      <c r="H5" s="318">
        <v>10</v>
      </c>
      <c r="I5" s="6" t="s">
        <v>3</v>
      </c>
      <c r="J5" s="471"/>
      <c r="K5" s="319"/>
      <c r="L5" s="552" t="s">
        <v>4</v>
      </c>
      <c r="M5" s="553"/>
      <c r="N5" s="554" t="s">
        <v>5</v>
      </c>
      <c r="O5" s="555"/>
      <c r="P5" s="454"/>
    </row>
    <row r="6" spans="1:16" ht="23.25" x14ac:dyDescent="0.35">
      <c r="A6" s="462"/>
      <c r="B6" s="456"/>
      <c r="C6" s="456"/>
      <c r="D6" s="456"/>
      <c r="E6" s="456"/>
      <c r="F6" s="456"/>
      <c r="G6" s="456"/>
      <c r="H6" s="315"/>
      <c r="I6" s="183"/>
      <c r="J6" s="456"/>
      <c r="K6" s="320"/>
      <c r="L6" s="266" t="s">
        <v>7</v>
      </c>
      <c r="M6" s="321" t="s">
        <v>8</v>
      </c>
      <c r="N6" s="322" t="s">
        <v>7</v>
      </c>
      <c r="O6" s="13" t="s">
        <v>8</v>
      </c>
      <c r="P6" s="454"/>
    </row>
    <row r="7" spans="1:16" x14ac:dyDescent="0.25">
      <c r="A7" s="462"/>
      <c r="B7" s="456"/>
      <c r="C7" s="456"/>
      <c r="D7" s="456"/>
      <c r="E7" s="456"/>
      <c r="F7" s="456"/>
      <c r="G7" s="456"/>
      <c r="H7" s="477"/>
      <c r="I7" s="456"/>
      <c r="J7" s="456"/>
      <c r="K7" s="323"/>
      <c r="L7" s="324" t="s">
        <v>15</v>
      </c>
      <c r="M7" s="325" t="s">
        <v>16</v>
      </c>
      <c r="N7" s="326" t="s">
        <v>17</v>
      </c>
      <c r="O7" s="327" t="s">
        <v>17</v>
      </c>
      <c r="P7" s="454"/>
    </row>
    <row r="8" spans="1:16" hidden="1" x14ac:dyDescent="0.25">
      <c r="A8" s="454"/>
      <c r="B8" s="454"/>
      <c r="C8" s="454"/>
      <c r="D8" s="454"/>
      <c r="E8" s="456"/>
      <c r="F8" s="456"/>
      <c r="G8" s="456"/>
      <c r="H8" s="456"/>
      <c r="I8" s="456"/>
      <c r="J8" s="456"/>
      <c r="K8" s="197" t="s">
        <v>20</v>
      </c>
      <c r="L8" s="29">
        <f>SUM(D38)*F4</f>
        <v>957.60000000000014</v>
      </c>
      <c r="M8" s="30">
        <f>SUM((E38)*F4)/2</f>
        <v>505.40000000000003</v>
      </c>
      <c r="N8" s="302">
        <f>SUM((D38)*F4)</f>
        <v>957.60000000000014</v>
      </c>
      <c r="O8" s="32">
        <f>SUM((E38)*F4)/2</f>
        <v>505.40000000000003</v>
      </c>
      <c r="P8" s="454"/>
    </row>
    <row r="9" spans="1:16" hidden="1" x14ac:dyDescent="0.25">
      <c r="A9" s="454"/>
      <c r="B9" s="454"/>
      <c r="C9" s="454"/>
      <c r="D9" s="454"/>
      <c r="E9" s="456"/>
      <c r="F9" s="456"/>
      <c r="G9" s="456"/>
      <c r="H9" s="456"/>
      <c r="I9" s="456"/>
      <c r="J9" s="456"/>
      <c r="K9" s="197"/>
      <c r="L9" s="37"/>
      <c r="M9" s="38"/>
      <c r="N9" s="328"/>
      <c r="O9" s="40"/>
      <c r="P9" s="454"/>
    </row>
    <row r="10" spans="1:16" hidden="1" x14ac:dyDescent="0.25">
      <c r="A10" s="459"/>
      <c r="B10" s="456"/>
      <c r="C10" s="456"/>
      <c r="D10" s="456"/>
      <c r="E10" s="456"/>
      <c r="F10" s="456"/>
      <c r="G10" s="456"/>
      <c r="H10" s="456"/>
      <c r="I10" s="456"/>
      <c r="J10" s="456"/>
      <c r="K10" s="197"/>
      <c r="L10" s="37"/>
      <c r="M10" s="38"/>
      <c r="N10" s="329" t="s">
        <v>25</v>
      </c>
      <c r="O10" s="46" t="s">
        <v>25</v>
      </c>
      <c r="P10" s="454"/>
    </row>
    <row r="11" spans="1:16" hidden="1" x14ac:dyDescent="0.25">
      <c r="A11" s="459"/>
      <c r="B11" s="456"/>
      <c r="C11" s="456"/>
      <c r="D11" s="456"/>
      <c r="E11" s="456"/>
      <c r="F11" s="456"/>
      <c r="G11" s="456"/>
      <c r="H11" s="456"/>
      <c r="I11" s="456"/>
      <c r="J11" s="456"/>
      <c r="K11" s="197"/>
      <c r="L11" s="37"/>
      <c r="M11" s="38"/>
      <c r="N11" s="328"/>
      <c r="O11" s="40"/>
      <c r="P11" s="454"/>
    </row>
    <row r="12" spans="1:16" hidden="1" x14ac:dyDescent="0.25">
      <c r="A12" s="459"/>
      <c r="B12" s="456"/>
      <c r="C12" s="456"/>
      <c r="D12" s="456"/>
      <c r="E12" s="456"/>
      <c r="F12" s="456"/>
      <c r="G12" s="456"/>
      <c r="H12" s="456"/>
      <c r="I12" s="456"/>
      <c r="J12" s="456"/>
      <c r="K12" s="197" t="s">
        <v>15</v>
      </c>
      <c r="L12" s="29">
        <f>SUM(E42*F5)</f>
        <v>520</v>
      </c>
      <c r="M12" s="30">
        <f>SUM(E42*F5)</f>
        <v>520</v>
      </c>
      <c r="N12" s="302">
        <v>0</v>
      </c>
      <c r="O12" s="32">
        <v>0</v>
      </c>
      <c r="P12" s="454"/>
    </row>
    <row r="13" spans="1:16" hidden="1" x14ac:dyDescent="0.25">
      <c r="A13" s="459"/>
      <c r="B13" s="456"/>
      <c r="C13" s="456"/>
      <c r="D13" s="456"/>
      <c r="E13" s="456"/>
      <c r="F13" s="456"/>
      <c r="G13" s="456"/>
      <c r="H13" s="456"/>
      <c r="I13" s="456"/>
      <c r="J13" s="456"/>
      <c r="K13" s="197" t="s">
        <v>4</v>
      </c>
      <c r="L13" s="29">
        <f>SUM(E43)</f>
        <v>87</v>
      </c>
      <c r="M13" s="30">
        <f>SUM(E43)</f>
        <v>87</v>
      </c>
      <c r="N13" s="302">
        <f>SUM(E43)</f>
        <v>87</v>
      </c>
      <c r="O13" s="32">
        <f>SUM(E43)</f>
        <v>87</v>
      </c>
      <c r="P13" s="454"/>
    </row>
    <row r="14" spans="1:16" hidden="1" x14ac:dyDescent="0.25">
      <c r="A14" s="459"/>
      <c r="B14" s="456"/>
      <c r="C14" s="456"/>
      <c r="D14" s="456"/>
      <c r="E14" s="456"/>
      <c r="F14" s="456"/>
      <c r="G14" s="456"/>
      <c r="H14" s="456"/>
      <c r="I14" s="456"/>
      <c r="J14" s="456"/>
      <c r="K14" s="197" t="s">
        <v>34</v>
      </c>
      <c r="L14" s="29">
        <f>SUM(E44)</f>
        <v>60</v>
      </c>
      <c r="M14" s="30">
        <f>SUM(E44)</f>
        <v>60</v>
      </c>
      <c r="N14" s="302">
        <f>SUM(E44)</f>
        <v>60</v>
      </c>
      <c r="O14" s="32">
        <f>SUM(L14)</f>
        <v>60</v>
      </c>
      <c r="P14" s="454"/>
    </row>
    <row r="15" spans="1:16" ht="15.75" hidden="1" x14ac:dyDescent="0.25">
      <c r="A15" s="456"/>
      <c r="B15" s="469"/>
      <c r="C15" s="456"/>
      <c r="D15" s="456"/>
      <c r="E15" s="456"/>
      <c r="F15" s="456"/>
      <c r="G15" s="456"/>
      <c r="H15" s="456"/>
      <c r="I15" s="456"/>
      <c r="J15" s="456"/>
      <c r="K15" s="197" t="s">
        <v>37</v>
      </c>
      <c r="L15" s="29">
        <f>SUM(E45)*F4</f>
        <v>119</v>
      </c>
      <c r="M15" s="30">
        <f>SUM(E45)*F4</f>
        <v>119</v>
      </c>
      <c r="N15" s="302">
        <f>SUM(E45)*F4</f>
        <v>119</v>
      </c>
      <c r="O15" s="32">
        <f>SUM(E45)*F4</f>
        <v>119</v>
      </c>
      <c r="P15" s="454"/>
    </row>
    <row r="16" spans="1:16" ht="16.5" hidden="1" thickBot="1" x14ac:dyDescent="0.3">
      <c r="A16" s="456"/>
      <c r="B16" s="469"/>
      <c r="C16" s="456"/>
      <c r="D16" s="456"/>
      <c r="E16" s="456"/>
      <c r="F16" s="456"/>
      <c r="G16" s="456"/>
      <c r="H16" s="456"/>
      <c r="I16" s="456"/>
      <c r="J16" s="456"/>
      <c r="K16" s="330" t="s">
        <v>35</v>
      </c>
      <c r="L16" s="53">
        <f>SUM((L8)*0.25)+(L15*0.15)</f>
        <v>257.25000000000006</v>
      </c>
      <c r="M16" s="53">
        <f>SUM((M8)*0.25)+(M15*0.15)</f>
        <v>144.20000000000002</v>
      </c>
      <c r="N16" s="331">
        <f>SUM((N8)*0.25)+(N15*0.15)</f>
        <v>257.25000000000006</v>
      </c>
      <c r="O16" s="331">
        <f>SUM((O8)*0.25)+(O15*0.15)</f>
        <v>144.20000000000002</v>
      </c>
      <c r="P16" s="454"/>
    </row>
    <row r="17" spans="1:16" ht="18.75" x14ac:dyDescent="0.3">
      <c r="A17" s="459"/>
      <c r="B17" s="456"/>
      <c r="C17" s="456"/>
      <c r="D17" s="456"/>
      <c r="E17" s="456"/>
      <c r="F17" s="456"/>
      <c r="G17" s="456"/>
      <c r="H17" s="456"/>
      <c r="I17" s="456"/>
      <c r="J17" s="470"/>
      <c r="K17" s="332" t="s">
        <v>39</v>
      </c>
      <c r="L17" s="333">
        <f>SUM(L8:L16)</f>
        <v>2000.8500000000001</v>
      </c>
      <c r="M17" s="334">
        <f>SUM(M8:M16)</f>
        <v>1435.6000000000001</v>
      </c>
      <c r="N17" s="335">
        <f>SUM(N8:N16)</f>
        <v>1480.8500000000001</v>
      </c>
      <c r="O17" s="336">
        <f>SUM(O8:O16)</f>
        <v>915.60000000000014</v>
      </c>
      <c r="P17" s="454"/>
    </row>
    <row r="18" spans="1:16" ht="15.75" thickBot="1" x14ac:dyDescent="0.3">
      <c r="A18" s="462"/>
      <c r="B18" s="456"/>
      <c r="C18" s="456"/>
      <c r="D18" s="456"/>
      <c r="E18" s="456"/>
      <c r="F18" s="456"/>
      <c r="G18" s="456"/>
      <c r="H18" s="456"/>
      <c r="I18" s="456"/>
      <c r="J18" s="456"/>
      <c r="K18" s="337" t="s">
        <v>40</v>
      </c>
      <c r="L18" s="267">
        <f>SUM(L8+L12+L13)*H5/100</f>
        <v>156.46</v>
      </c>
      <c r="M18" s="58">
        <f>SUM(M8+M12+M13)*H5/100</f>
        <v>111.24</v>
      </c>
      <c r="N18" s="338">
        <f>SUM(N8+N12+N13)*H5/100</f>
        <v>104.46000000000002</v>
      </c>
      <c r="O18" s="60">
        <f>SUM(O8+O12+O13)*H5/100</f>
        <v>59.240000000000009</v>
      </c>
      <c r="P18" s="454"/>
    </row>
    <row r="19" spans="1:16" ht="15.75" thickBot="1" x14ac:dyDescent="0.3">
      <c r="A19" s="462"/>
      <c r="B19" s="456"/>
      <c r="C19" s="456"/>
      <c r="D19" s="456"/>
      <c r="E19" s="456"/>
      <c r="F19" s="456"/>
      <c r="G19" s="456"/>
      <c r="H19" s="456"/>
      <c r="I19" s="456"/>
      <c r="J19" s="456"/>
      <c r="K19" s="339" t="s">
        <v>41</v>
      </c>
      <c r="L19" s="53">
        <f>SUM(L17-L18)</f>
        <v>1844.39</v>
      </c>
      <c r="M19" s="54">
        <f>SUM(M17-M18)</f>
        <v>1324.3600000000001</v>
      </c>
      <c r="N19" s="331">
        <f>SUM(N17-N18)</f>
        <v>1376.39</v>
      </c>
      <c r="O19" s="55">
        <f>SUM(O17-O18)</f>
        <v>856.36000000000013</v>
      </c>
      <c r="P19" s="454"/>
    </row>
    <row r="20" spans="1:16" ht="21.75" thickBot="1" x14ac:dyDescent="0.4">
      <c r="A20" s="556" t="s">
        <v>42</v>
      </c>
      <c r="B20" s="557"/>
      <c r="C20" s="557"/>
      <c r="D20" s="557"/>
      <c r="E20" s="558"/>
      <c r="F20" s="559" t="s">
        <v>43</v>
      </c>
      <c r="G20" s="560"/>
      <c r="H20" s="560"/>
      <c r="I20" s="560"/>
      <c r="J20" s="561"/>
      <c r="K20" s="562" t="s">
        <v>45</v>
      </c>
      <c r="L20" s="563"/>
      <c r="M20" s="563"/>
      <c r="N20" s="563"/>
      <c r="O20" s="563"/>
      <c r="P20" s="454"/>
    </row>
    <row r="21" spans="1:16" ht="19.5" thickBot="1" x14ac:dyDescent="0.35">
      <c r="A21" s="340"/>
      <c r="B21" s="565" t="s">
        <v>4</v>
      </c>
      <c r="C21" s="566"/>
      <c r="D21" s="567" t="s">
        <v>5</v>
      </c>
      <c r="E21" s="568"/>
      <c r="F21" s="9"/>
      <c r="G21" s="569" t="s">
        <v>4</v>
      </c>
      <c r="H21" s="570"/>
      <c r="I21" s="571" t="s">
        <v>5</v>
      </c>
      <c r="J21" s="572"/>
      <c r="K21" s="341"/>
      <c r="L21" s="543" t="s">
        <v>4</v>
      </c>
      <c r="M21" s="544"/>
      <c r="N21" s="545" t="s">
        <v>5</v>
      </c>
      <c r="O21" s="546"/>
      <c r="P21" s="454"/>
    </row>
    <row r="22" spans="1:16" x14ac:dyDescent="0.25">
      <c r="A22" s="342"/>
      <c r="B22" s="68" t="s">
        <v>7</v>
      </c>
      <c r="C22" s="69" t="s">
        <v>8</v>
      </c>
      <c r="D22" s="70" t="s">
        <v>7</v>
      </c>
      <c r="E22" s="71" t="s">
        <v>8</v>
      </c>
      <c r="F22" s="67"/>
      <c r="G22" s="343" t="s">
        <v>7</v>
      </c>
      <c r="H22" s="73" t="s">
        <v>8</v>
      </c>
      <c r="I22" s="75" t="s">
        <v>7</v>
      </c>
      <c r="J22" s="76" t="s">
        <v>8</v>
      </c>
      <c r="K22" s="344"/>
      <c r="L22" s="345" t="s">
        <v>7</v>
      </c>
      <c r="M22" s="131" t="s">
        <v>8</v>
      </c>
      <c r="N22" s="346" t="s">
        <v>7</v>
      </c>
      <c r="O22" s="133" t="s">
        <v>8</v>
      </c>
      <c r="P22" s="454"/>
    </row>
    <row r="23" spans="1:16" x14ac:dyDescent="0.25">
      <c r="A23" s="342"/>
      <c r="B23" s="68" t="s">
        <v>44</v>
      </c>
      <c r="C23" s="78" t="s">
        <v>16</v>
      </c>
      <c r="D23" s="79" t="s">
        <v>17</v>
      </c>
      <c r="E23" s="80" t="s">
        <v>17</v>
      </c>
      <c r="F23" s="81"/>
      <c r="G23" s="347" t="s">
        <v>15</v>
      </c>
      <c r="H23" s="83" t="s">
        <v>16</v>
      </c>
      <c r="I23" s="84" t="s">
        <v>17</v>
      </c>
      <c r="J23" s="85" t="s">
        <v>17</v>
      </c>
      <c r="K23" s="348"/>
      <c r="L23" s="349" t="s">
        <v>15</v>
      </c>
      <c r="M23" s="136" t="s">
        <v>16</v>
      </c>
      <c r="N23" s="350" t="s">
        <v>17</v>
      </c>
      <c r="O23" s="138" t="s">
        <v>17</v>
      </c>
      <c r="P23" s="454"/>
    </row>
    <row r="24" spans="1:16" hidden="1" x14ac:dyDescent="0.25">
      <c r="A24" s="351" t="s">
        <v>20</v>
      </c>
      <c r="B24" s="87">
        <f>SUM(D39*F4)</f>
        <v>1223.6000000000001</v>
      </c>
      <c r="C24" s="88">
        <f>SUM((E39)*F4)/2</f>
        <v>638.4</v>
      </c>
      <c r="D24" s="89">
        <f>SUM((D39)*F4)</f>
        <v>1223.6000000000001</v>
      </c>
      <c r="E24" s="90">
        <f>SUM((E39)*F4)/2</f>
        <v>638.4</v>
      </c>
      <c r="F24" s="28" t="s">
        <v>20</v>
      </c>
      <c r="G24" s="352">
        <f>SUM((D40)*F4)</f>
        <v>1356.6000000000001</v>
      </c>
      <c r="H24" s="92">
        <f>SUM((E40)*F4)/2</f>
        <v>704.9</v>
      </c>
      <c r="I24" s="93">
        <f>SUM(D40*F4)</f>
        <v>1356.6000000000001</v>
      </c>
      <c r="J24" s="94">
        <f>SUM((E40)*F4)/2</f>
        <v>704.9</v>
      </c>
      <c r="K24" s="28" t="s">
        <v>20</v>
      </c>
      <c r="L24" s="353">
        <f>SUM((D41)*F4)</f>
        <v>1489.6000000000001</v>
      </c>
      <c r="M24" s="141">
        <f>SUM((E41)*F4)/2</f>
        <v>771.4</v>
      </c>
      <c r="N24" s="354">
        <f>SUM((D41)*F4)</f>
        <v>1489.6000000000001</v>
      </c>
      <c r="O24" s="143">
        <f>SUM((E41)*F4)/2</f>
        <v>771.4</v>
      </c>
      <c r="P24" s="454"/>
    </row>
    <row r="25" spans="1:16" hidden="1" x14ac:dyDescent="0.25">
      <c r="A25" s="351"/>
      <c r="B25" s="97"/>
      <c r="C25" s="98"/>
      <c r="D25" s="99"/>
      <c r="E25" s="100"/>
      <c r="F25" s="28"/>
      <c r="G25" s="355"/>
      <c r="H25" s="102"/>
      <c r="I25" s="103"/>
      <c r="J25" s="104"/>
      <c r="K25" s="28"/>
      <c r="L25" s="356"/>
      <c r="M25" s="145"/>
      <c r="N25" s="357"/>
      <c r="O25" s="147"/>
      <c r="P25" s="454"/>
    </row>
    <row r="26" spans="1:16" hidden="1" x14ac:dyDescent="0.25">
      <c r="A26" s="351"/>
      <c r="B26" s="68"/>
      <c r="C26" s="98"/>
      <c r="D26" s="105"/>
      <c r="E26" s="106"/>
      <c r="F26" s="28"/>
      <c r="G26" s="358"/>
      <c r="H26" s="108"/>
      <c r="I26" s="109"/>
      <c r="J26" s="110"/>
      <c r="K26" s="28"/>
      <c r="L26" s="356"/>
      <c r="M26" s="148"/>
      <c r="N26" s="357"/>
      <c r="O26" s="149"/>
      <c r="P26" s="454"/>
    </row>
    <row r="27" spans="1:16" hidden="1" x14ac:dyDescent="0.25">
      <c r="A27" s="351"/>
      <c r="B27" s="97"/>
      <c r="C27" s="98"/>
      <c r="D27" s="99"/>
      <c r="E27" s="100"/>
      <c r="F27" s="28"/>
      <c r="G27" s="355"/>
      <c r="H27" s="102"/>
      <c r="I27" s="103"/>
      <c r="J27" s="104"/>
      <c r="K27" s="28"/>
      <c r="L27" s="356"/>
      <c r="M27" s="145"/>
      <c r="N27" s="357"/>
      <c r="O27" s="147"/>
      <c r="P27" s="454"/>
    </row>
    <row r="28" spans="1:16" hidden="1" x14ac:dyDescent="0.25">
      <c r="A28" s="351" t="s">
        <v>15</v>
      </c>
      <c r="B28" s="409">
        <f>SUM(E42*F5)</f>
        <v>520</v>
      </c>
      <c r="C28" s="88">
        <f>SUM(E42*F5)</f>
        <v>520</v>
      </c>
      <c r="D28" s="89">
        <v>0</v>
      </c>
      <c r="E28" s="90">
        <v>0</v>
      </c>
      <c r="F28" s="28" t="s">
        <v>15</v>
      </c>
      <c r="G28" s="352">
        <f>SUM(E42*F5)</f>
        <v>520</v>
      </c>
      <c r="H28" s="92">
        <f>SUM(E42*F5)</f>
        <v>520</v>
      </c>
      <c r="I28" s="93">
        <v>0</v>
      </c>
      <c r="J28" s="94">
        <v>0</v>
      </c>
      <c r="K28" s="28" t="s">
        <v>15</v>
      </c>
      <c r="L28" s="353">
        <f>SUM(E42*F5)</f>
        <v>520</v>
      </c>
      <c r="M28" s="141">
        <f>SUM(E42*F5)</f>
        <v>520</v>
      </c>
      <c r="N28" s="354">
        <v>0</v>
      </c>
      <c r="O28" s="143">
        <v>0</v>
      </c>
      <c r="P28" s="454"/>
    </row>
    <row r="29" spans="1:16" hidden="1" x14ac:dyDescent="0.25">
      <c r="A29" s="351" t="s">
        <v>4</v>
      </c>
      <c r="B29" s="409">
        <f>SUM(E43)</f>
        <v>87</v>
      </c>
      <c r="C29" s="88">
        <f>SUM(E43)</f>
        <v>87</v>
      </c>
      <c r="D29" s="89">
        <f>SUM(E43)</f>
        <v>87</v>
      </c>
      <c r="E29" s="90">
        <f>SUM(E43)</f>
        <v>87</v>
      </c>
      <c r="F29" s="28" t="s">
        <v>4</v>
      </c>
      <c r="G29" s="352">
        <f>SUM(E43)</f>
        <v>87</v>
      </c>
      <c r="H29" s="92">
        <f>SUM(E43)</f>
        <v>87</v>
      </c>
      <c r="I29" s="93">
        <f>SUM(E43)</f>
        <v>87</v>
      </c>
      <c r="J29" s="94">
        <f>SUM(E43)</f>
        <v>87</v>
      </c>
      <c r="K29" s="28" t="s">
        <v>4</v>
      </c>
      <c r="L29" s="353">
        <f>SUM(E43)</f>
        <v>87</v>
      </c>
      <c r="M29" s="141">
        <f>SUM(E43)</f>
        <v>87</v>
      </c>
      <c r="N29" s="354">
        <f>SUM(E43)</f>
        <v>87</v>
      </c>
      <c r="O29" s="143">
        <f>SUM(E43)</f>
        <v>87</v>
      </c>
      <c r="P29" s="454"/>
    </row>
    <row r="30" spans="1:16" hidden="1" x14ac:dyDescent="0.25">
      <c r="A30" s="351" t="s">
        <v>34</v>
      </c>
      <c r="B30" s="409">
        <f>SUM(E44)</f>
        <v>60</v>
      </c>
      <c r="C30" s="88">
        <f>SUM(E44)</f>
        <v>60</v>
      </c>
      <c r="D30" s="89">
        <f>SUM(E44)</f>
        <v>60</v>
      </c>
      <c r="E30" s="90">
        <f>SUM(B30)</f>
        <v>60</v>
      </c>
      <c r="F30" s="28" t="s">
        <v>34</v>
      </c>
      <c r="G30" s="352">
        <f>SUM(E44)</f>
        <v>60</v>
      </c>
      <c r="H30" s="92">
        <f>SUM(E44)</f>
        <v>60</v>
      </c>
      <c r="I30" s="93">
        <f>SUM(E44)</f>
        <v>60</v>
      </c>
      <c r="J30" s="94">
        <f>SUM(E44)</f>
        <v>60</v>
      </c>
      <c r="K30" s="28" t="s">
        <v>34</v>
      </c>
      <c r="L30" s="353">
        <f>SUM(E44)</f>
        <v>60</v>
      </c>
      <c r="M30" s="141">
        <f>SUM(E44)</f>
        <v>60</v>
      </c>
      <c r="N30" s="354">
        <f>SUM(E44)</f>
        <v>60</v>
      </c>
      <c r="O30" s="143">
        <f>SUM(E44)</f>
        <v>60</v>
      </c>
      <c r="P30" s="454"/>
    </row>
    <row r="31" spans="1:16" hidden="1" x14ac:dyDescent="0.25">
      <c r="A31" s="351" t="s">
        <v>37</v>
      </c>
      <c r="B31" s="409">
        <f>SUM(E45)*F4</f>
        <v>119</v>
      </c>
      <c r="C31" s="88">
        <f>SUM(E45)*F4</f>
        <v>119</v>
      </c>
      <c r="D31" s="89">
        <f>SUM(E45)*F4</f>
        <v>119</v>
      </c>
      <c r="E31" s="90">
        <f>SUM(E45)*F4</f>
        <v>119</v>
      </c>
      <c r="F31" s="28" t="s">
        <v>37</v>
      </c>
      <c r="G31" s="352">
        <f>SUM(E45)*F4</f>
        <v>119</v>
      </c>
      <c r="H31" s="92">
        <f>SUM(E45)*F4</f>
        <v>119</v>
      </c>
      <c r="I31" s="116">
        <f>SUM(E45)*F4</f>
        <v>119</v>
      </c>
      <c r="J31" s="94">
        <f>SUM(E45)*F4</f>
        <v>119</v>
      </c>
      <c r="K31" s="28" t="s">
        <v>46</v>
      </c>
      <c r="L31" s="353">
        <f>SUM(E45)*F4</f>
        <v>119</v>
      </c>
      <c r="M31" s="141">
        <f>SUM(E45)*F4</f>
        <v>119</v>
      </c>
      <c r="N31" s="354">
        <f>SUM(E45)*F4</f>
        <v>119</v>
      </c>
      <c r="O31" s="143">
        <f>SUM(E45)*F4</f>
        <v>119</v>
      </c>
      <c r="P31" s="454"/>
    </row>
    <row r="32" spans="1:16" hidden="1" x14ac:dyDescent="0.25">
      <c r="A32" s="351" t="s">
        <v>35</v>
      </c>
      <c r="B32" s="410">
        <f>SUM((B24)*0.25)+(B31*0.15)</f>
        <v>323.75000000000006</v>
      </c>
      <c r="C32" s="410">
        <f>SUM((C24)*0.25)+(C31*0.15)</f>
        <v>177.45</v>
      </c>
      <c r="D32" s="411">
        <f>SUM((D24)*0.25)+(D31*0.15)</f>
        <v>323.75000000000006</v>
      </c>
      <c r="E32" s="411">
        <f>SUM((E24)*0.25)+(E31*0.15)</f>
        <v>177.45</v>
      </c>
      <c r="F32" s="28" t="s">
        <v>35</v>
      </c>
      <c r="G32" s="359">
        <f>SUM((G24)*0.25)+(G31*0.15)</f>
        <v>357.00000000000006</v>
      </c>
      <c r="H32" s="359">
        <f>SUM((H24)*0.25)+(H31*0.15)</f>
        <v>194.07499999999999</v>
      </c>
      <c r="I32" s="360">
        <f>SUM((I24)*0.25)+(I31*0.15)</f>
        <v>357.00000000000006</v>
      </c>
      <c r="J32" s="360">
        <f>SUM((J24)*0.25)+(J31*0.15)</f>
        <v>194.07499999999999</v>
      </c>
      <c r="K32" s="28" t="s">
        <v>35</v>
      </c>
      <c r="L32" s="361">
        <f>SUM((L24)*0.25)+(L31*0.15)</f>
        <v>390.25000000000006</v>
      </c>
      <c r="M32" s="361">
        <f>SUM((M24)*0.25)+(M31*0.15)</f>
        <v>210.7</v>
      </c>
      <c r="N32" s="362">
        <f>SUM((N24)*0.25)+(N31*0.15)</f>
        <v>390.25000000000006</v>
      </c>
      <c r="O32" s="362">
        <f>SUM((O24)*0.25)+(O31*0.15)</f>
        <v>210.7</v>
      </c>
      <c r="P32" s="454"/>
    </row>
    <row r="33" spans="1:16" ht="18.75" x14ac:dyDescent="0.3">
      <c r="A33" s="363" t="s">
        <v>39</v>
      </c>
      <c r="B33" s="364">
        <f>SUM(B24:B32)</f>
        <v>2333.3500000000004</v>
      </c>
      <c r="C33" s="365">
        <f>SUM(C24:C32)</f>
        <v>1601.8500000000001</v>
      </c>
      <c r="D33" s="366">
        <f>SUM(D24:D32)</f>
        <v>1813.3500000000001</v>
      </c>
      <c r="E33" s="367">
        <f>SUM(E24:E32)</f>
        <v>1081.8499999999999</v>
      </c>
      <c r="F33" s="368" t="s">
        <v>39</v>
      </c>
      <c r="G33" s="369">
        <f>SUM(G24:G32)</f>
        <v>2499.6000000000004</v>
      </c>
      <c r="H33" s="122">
        <f>SUM(H24:H32)</f>
        <v>1684.9750000000001</v>
      </c>
      <c r="I33" s="370">
        <f>SUM(I24:I32)</f>
        <v>1979.6000000000001</v>
      </c>
      <c r="J33" s="371">
        <f>SUM(J24:J32)</f>
        <v>1164.9749999999999</v>
      </c>
      <c r="K33" s="368" t="s">
        <v>39</v>
      </c>
      <c r="L33" s="372">
        <f>SUM(L24:L32)</f>
        <v>2665.8500000000004</v>
      </c>
      <c r="M33" s="373">
        <f>SUM(M24:M32)</f>
        <v>1768.1000000000001</v>
      </c>
      <c r="N33" s="374">
        <f>SUM(N24:N32)</f>
        <v>2145.8500000000004</v>
      </c>
      <c r="O33" s="375">
        <f>SUM(O24:O32)</f>
        <v>1248.1000000000001</v>
      </c>
      <c r="P33" s="454"/>
    </row>
    <row r="34" spans="1:16" ht="15.75" thickBot="1" x14ac:dyDescent="0.3">
      <c r="A34" s="376" t="s">
        <v>40</v>
      </c>
      <c r="B34" s="377">
        <f>SUM(B24+B28+B29)*H5/100</f>
        <v>183.06</v>
      </c>
      <c r="C34" s="378">
        <f>SUM(C24+C28+C29)*H5/100</f>
        <v>124.54</v>
      </c>
      <c r="D34" s="379">
        <f>SUM(D24+D28+D29)*H5/100</f>
        <v>131.06000000000003</v>
      </c>
      <c r="E34" s="380">
        <f>SUM(E24+E28+E29)*H5/100</f>
        <v>72.540000000000006</v>
      </c>
      <c r="F34" s="28" t="s">
        <v>40</v>
      </c>
      <c r="G34" s="381">
        <f>SUM(G24+G28+G29)*H5/100</f>
        <v>196.36</v>
      </c>
      <c r="H34" s="382">
        <f>SUM(H24+H28+H29)*H5/100</f>
        <v>131.19</v>
      </c>
      <c r="I34" s="383">
        <f>SUM(I24+I28+I29)*H5/100</f>
        <v>144.36000000000001</v>
      </c>
      <c r="J34" s="384">
        <f>SUM(J24+J28+J29)*H5/100</f>
        <v>79.19</v>
      </c>
      <c r="K34" s="124" t="s">
        <v>40</v>
      </c>
      <c r="L34" s="385">
        <f>SUM(L24+L28+L29)*H5/100</f>
        <v>209.66000000000003</v>
      </c>
      <c r="M34" s="386">
        <f>SUM(M24+M28+M29)*H5/100</f>
        <v>137.84</v>
      </c>
      <c r="N34" s="387">
        <f>SUM(N24+N28+N29)*H5/100</f>
        <v>157.66000000000003</v>
      </c>
      <c r="O34" s="388">
        <f>SUM(O24+O28+O29)*H5/100</f>
        <v>85.84</v>
      </c>
      <c r="P34" s="454"/>
    </row>
    <row r="35" spans="1:16" ht="15.75" thickBot="1" x14ac:dyDescent="0.3">
      <c r="A35" s="363" t="s">
        <v>41</v>
      </c>
      <c r="B35" s="389">
        <f>SUM(B33-B34)</f>
        <v>2150.2900000000004</v>
      </c>
      <c r="C35" s="390">
        <f>SUM(C33-C34)</f>
        <v>1477.3100000000002</v>
      </c>
      <c r="D35" s="391">
        <f>SUM(D33-D34)</f>
        <v>1682.2900000000002</v>
      </c>
      <c r="E35" s="392">
        <f>SUM(E33-E34)</f>
        <v>1009.31</v>
      </c>
      <c r="F35" s="393" t="s">
        <v>41</v>
      </c>
      <c r="G35" s="394">
        <f>SUM(G33-G34)</f>
        <v>2303.2400000000002</v>
      </c>
      <c r="H35" s="127">
        <f>SUM(H33-H34)</f>
        <v>1553.7850000000001</v>
      </c>
      <c r="I35" s="395">
        <f>SUM(I33-I34)</f>
        <v>1835.2400000000002</v>
      </c>
      <c r="J35" s="94">
        <f>SUM(J33-J34)</f>
        <v>1085.7849999999999</v>
      </c>
      <c r="K35" s="393" t="s">
        <v>41</v>
      </c>
      <c r="L35" s="396">
        <f>SUM(L33-L34)</f>
        <v>2456.1900000000005</v>
      </c>
      <c r="M35" s="397">
        <f>SUM(M33-M34)</f>
        <v>1630.2600000000002</v>
      </c>
      <c r="N35" s="398">
        <f>SUM(N33-N34)</f>
        <v>1988.1900000000003</v>
      </c>
      <c r="O35" s="388">
        <f>SUM(O33-O34)</f>
        <v>1162.2600000000002</v>
      </c>
      <c r="P35" s="454"/>
    </row>
    <row r="36" spans="1:16" x14ac:dyDescent="0.25">
      <c r="A36" s="456"/>
      <c r="B36" s="457"/>
      <c r="C36" s="456"/>
      <c r="D36" s="456"/>
      <c r="E36" s="456"/>
      <c r="F36" s="456"/>
      <c r="G36" s="456"/>
      <c r="H36" s="456"/>
      <c r="I36" s="457"/>
      <c r="J36" s="454"/>
      <c r="K36" s="454"/>
      <c r="L36" s="454"/>
      <c r="M36" s="454"/>
      <c r="N36" s="454"/>
      <c r="O36" s="454"/>
      <c r="P36" s="454"/>
    </row>
    <row r="37" spans="1:16" hidden="1" x14ac:dyDescent="0.25">
      <c r="A37" s="456"/>
      <c r="B37" s="517"/>
      <c r="C37" s="518" t="s">
        <v>6</v>
      </c>
      <c r="D37" s="519" t="s">
        <v>7</v>
      </c>
      <c r="E37" s="519" t="s">
        <v>8</v>
      </c>
      <c r="F37" s="519" t="s">
        <v>9</v>
      </c>
      <c r="G37" s="519" t="s">
        <v>10</v>
      </c>
      <c r="H37" s="456"/>
      <c r="I37" s="573" t="s">
        <v>14</v>
      </c>
      <c r="J37" s="573"/>
      <c r="K37" s="459"/>
      <c r="L37" s="456"/>
      <c r="M37" s="456"/>
      <c r="N37" s="454"/>
      <c r="O37" s="454"/>
      <c r="P37" s="454"/>
    </row>
    <row r="38" spans="1:16" hidden="1" x14ac:dyDescent="0.25">
      <c r="A38" s="456"/>
      <c r="B38" s="520" t="s">
        <v>12</v>
      </c>
      <c r="C38" s="521" t="s">
        <v>13</v>
      </c>
      <c r="D38" s="522">
        <v>136.80000000000001</v>
      </c>
      <c r="E38" s="523">
        <v>144.4</v>
      </c>
      <c r="F38" s="523">
        <v>152</v>
      </c>
      <c r="G38" s="524">
        <v>159.6</v>
      </c>
      <c r="H38" s="456"/>
      <c r="I38" s="460" t="s">
        <v>19</v>
      </c>
      <c r="J38" s="461">
        <v>30</v>
      </c>
      <c r="K38" s="459"/>
      <c r="L38" s="456"/>
      <c r="M38" s="456"/>
      <c r="N38" s="454"/>
      <c r="O38" s="454"/>
      <c r="P38" s="454"/>
    </row>
    <row r="39" spans="1:16" hidden="1" x14ac:dyDescent="0.25">
      <c r="A39" s="456"/>
      <c r="B39" s="520" t="s">
        <v>12</v>
      </c>
      <c r="C39" s="521" t="s">
        <v>18</v>
      </c>
      <c r="D39" s="522">
        <v>174.8</v>
      </c>
      <c r="E39" s="523">
        <v>182.4</v>
      </c>
      <c r="F39" s="523">
        <v>190</v>
      </c>
      <c r="G39" s="524">
        <v>197.6</v>
      </c>
      <c r="H39" s="456"/>
      <c r="I39" s="460" t="s">
        <v>22</v>
      </c>
      <c r="J39" s="461">
        <v>0</v>
      </c>
      <c r="K39" s="456"/>
      <c r="L39" s="456"/>
      <c r="M39" s="456"/>
      <c r="N39" s="454"/>
      <c r="O39" s="454"/>
      <c r="P39" s="454"/>
    </row>
    <row r="40" spans="1:16" hidden="1" x14ac:dyDescent="0.25">
      <c r="A40" s="456"/>
      <c r="B40" s="520" t="s">
        <v>12</v>
      </c>
      <c r="C40" s="521" t="s">
        <v>21</v>
      </c>
      <c r="D40" s="522">
        <v>193.8</v>
      </c>
      <c r="E40" s="523">
        <v>201.4</v>
      </c>
      <c r="F40" s="523">
        <v>209.8</v>
      </c>
      <c r="G40" s="524">
        <v>216.6</v>
      </c>
      <c r="H40" s="456"/>
      <c r="I40" s="460" t="s">
        <v>24</v>
      </c>
      <c r="J40" s="461">
        <v>10</v>
      </c>
      <c r="K40" s="462"/>
      <c r="L40" s="456"/>
      <c r="M40" s="456"/>
      <c r="N40" s="454"/>
      <c r="O40" s="454"/>
      <c r="P40" s="454"/>
    </row>
    <row r="41" spans="1:16" hidden="1" x14ac:dyDescent="0.25">
      <c r="A41" s="456"/>
      <c r="B41" s="520" t="s">
        <v>12</v>
      </c>
      <c r="C41" s="521" t="s">
        <v>23</v>
      </c>
      <c r="D41" s="522">
        <v>212.8</v>
      </c>
      <c r="E41" s="523">
        <v>220.4</v>
      </c>
      <c r="F41" s="523">
        <v>228</v>
      </c>
      <c r="G41" s="524">
        <v>235.6</v>
      </c>
      <c r="H41" s="456"/>
      <c r="I41" s="463" t="s">
        <v>57</v>
      </c>
      <c r="J41" s="461">
        <v>20</v>
      </c>
      <c r="K41" s="462"/>
      <c r="L41" s="456"/>
      <c r="M41" s="456"/>
      <c r="N41" s="454"/>
      <c r="O41" s="454"/>
      <c r="P41" s="454"/>
    </row>
    <row r="42" spans="1:16" hidden="1" x14ac:dyDescent="0.25">
      <c r="A42" s="456"/>
      <c r="B42" s="525" t="s">
        <v>12</v>
      </c>
      <c r="C42" s="526" t="s">
        <v>26</v>
      </c>
      <c r="D42" s="526"/>
      <c r="E42" s="527">
        <v>104</v>
      </c>
      <c r="F42" s="528" t="s">
        <v>27</v>
      </c>
      <c r="G42" s="454"/>
      <c r="H42" s="456"/>
      <c r="I42" s="464" t="s">
        <v>58</v>
      </c>
      <c r="J42" s="461">
        <v>0</v>
      </c>
      <c r="K42" s="454"/>
      <c r="L42" s="456"/>
      <c r="M42" s="456"/>
      <c r="N42" s="454"/>
      <c r="O42" s="454"/>
      <c r="P42" s="454"/>
    </row>
    <row r="43" spans="1:16" hidden="1" x14ac:dyDescent="0.25">
      <c r="A43" s="456"/>
      <c r="B43" s="529"/>
      <c r="C43" s="521" t="s">
        <v>71</v>
      </c>
      <c r="D43" s="521"/>
      <c r="E43" s="530">
        <v>87</v>
      </c>
      <c r="F43" s="531"/>
      <c r="G43" s="454"/>
      <c r="H43" s="456"/>
      <c r="I43" s="464" t="s">
        <v>59</v>
      </c>
      <c r="J43" s="461">
        <v>10</v>
      </c>
      <c r="K43" s="454"/>
      <c r="L43" s="456"/>
      <c r="M43" s="456"/>
      <c r="N43" s="454"/>
      <c r="O43" s="454"/>
      <c r="P43" s="454"/>
    </row>
    <row r="44" spans="1:16" hidden="1" x14ac:dyDescent="0.25">
      <c r="A44" s="456"/>
      <c r="B44" s="536" t="s">
        <v>28</v>
      </c>
      <c r="C44" s="521" t="s">
        <v>14</v>
      </c>
      <c r="D44" s="521"/>
      <c r="E44" s="532">
        <v>60</v>
      </c>
      <c r="F44" s="531" t="s">
        <v>29</v>
      </c>
      <c r="G44" s="454"/>
      <c r="H44" s="456"/>
      <c r="I44" s="464" t="s">
        <v>64</v>
      </c>
      <c r="J44" s="465">
        <v>10</v>
      </c>
      <c r="K44" s="454"/>
      <c r="L44" s="454"/>
      <c r="M44" s="454"/>
      <c r="N44" s="454"/>
      <c r="O44" s="454"/>
      <c r="P44" s="454"/>
    </row>
    <row r="45" spans="1:16" hidden="1" x14ac:dyDescent="0.25">
      <c r="A45" s="456"/>
      <c r="B45" s="536" t="s">
        <v>28</v>
      </c>
      <c r="C45" s="521" t="s">
        <v>31</v>
      </c>
      <c r="D45" s="521"/>
      <c r="E45" s="530">
        <v>17</v>
      </c>
      <c r="F45" s="531" t="s">
        <v>32</v>
      </c>
      <c r="G45" s="454"/>
      <c r="H45" s="456"/>
      <c r="I45" s="464" t="s">
        <v>65</v>
      </c>
      <c r="J45" s="465">
        <v>0</v>
      </c>
      <c r="K45" s="454"/>
      <c r="L45" s="454"/>
      <c r="M45" s="454"/>
      <c r="N45" s="454"/>
      <c r="O45" s="454"/>
      <c r="P45" s="454"/>
    </row>
    <row r="46" spans="1:16" hidden="1" x14ac:dyDescent="0.25">
      <c r="A46" s="456"/>
      <c r="B46" s="536" t="s">
        <v>28</v>
      </c>
      <c r="C46" s="533" t="s">
        <v>35</v>
      </c>
      <c r="D46" s="534" t="s">
        <v>73</v>
      </c>
      <c r="E46" s="534"/>
      <c r="F46" s="535"/>
      <c r="G46" s="454"/>
      <c r="H46" s="456"/>
      <c r="I46" s="464" t="s">
        <v>66</v>
      </c>
      <c r="J46" s="465">
        <v>57</v>
      </c>
      <c r="K46" s="454"/>
      <c r="L46" s="454"/>
      <c r="M46" s="454"/>
      <c r="N46" s="454"/>
      <c r="O46" s="454"/>
      <c r="P46" s="454"/>
    </row>
    <row r="47" spans="1:16" x14ac:dyDescent="0.25">
      <c r="A47" s="454"/>
      <c r="B47" s="454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54"/>
    </row>
    <row r="48" spans="1:16" ht="21" x14ac:dyDescent="0.35">
      <c r="A48" s="478" t="s">
        <v>83</v>
      </c>
      <c r="B48" s="479"/>
      <c r="C48" s="479"/>
      <c r="D48" s="454"/>
      <c r="E48" s="454"/>
      <c r="F48" s="454"/>
      <c r="G48" s="454"/>
      <c r="H48" s="454"/>
      <c r="I48" s="454"/>
      <c r="J48" s="454"/>
      <c r="K48" s="454"/>
      <c r="L48" s="454"/>
      <c r="M48" s="454"/>
      <c r="N48" s="454"/>
      <c r="O48" s="454"/>
      <c r="P48" s="454"/>
    </row>
    <row r="49" spans="1:16" ht="21" x14ac:dyDescent="0.35">
      <c r="A49" s="478"/>
      <c r="B49" s="479"/>
      <c r="C49" s="479"/>
      <c r="D49" s="454"/>
      <c r="E49" s="454"/>
      <c r="F49" s="454"/>
      <c r="G49" s="454"/>
      <c r="H49" s="454"/>
      <c r="I49" s="454"/>
      <c r="J49" s="454"/>
      <c r="K49" s="454"/>
      <c r="L49" s="454"/>
      <c r="M49" s="454"/>
      <c r="N49" s="454"/>
      <c r="O49" s="454"/>
      <c r="P49" s="454"/>
    </row>
    <row r="50" spans="1:16" ht="21" x14ac:dyDescent="0.35">
      <c r="A50" s="479"/>
      <c r="B50" s="479"/>
      <c r="C50" s="479"/>
      <c r="D50" s="454"/>
      <c r="E50" s="454"/>
      <c r="F50" s="454"/>
      <c r="G50" s="454"/>
      <c r="H50" s="454"/>
      <c r="I50" s="454"/>
      <c r="J50" s="454"/>
      <c r="K50" s="454"/>
      <c r="L50" s="454"/>
      <c r="M50" s="454"/>
      <c r="N50" s="454"/>
      <c r="O50" s="454"/>
      <c r="P50" s="454"/>
    </row>
    <row r="51" spans="1:16" ht="19.5" x14ac:dyDescent="0.25">
      <c r="A51" s="455"/>
      <c r="B51" s="454"/>
      <c r="C51" s="454"/>
      <c r="D51" s="454"/>
      <c r="E51" s="454"/>
      <c r="F51" s="454"/>
      <c r="G51" s="454"/>
      <c r="H51" s="454"/>
      <c r="I51" s="454"/>
      <c r="J51" s="454"/>
      <c r="K51" s="454"/>
      <c r="L51" s="454"/>
      <c r="M51" s="454"/>
      <c r="N51" s="454"/>
      <c r="O51" s="454"/>
      <c r="P51" s="454"/>
    </row>
    <row r="52" spans="1:16" x14ac:dyDescent="0.25">
      <c r="A52" s="454"/>
      <c r="B52" s="454"/>
      <c r="C52" s="454"/>
      <c r="D52" s="454"/>
      <c r="E52" s="454"/>
      <c r="F52" s="454"/>
      <c r="G52" s="454"/>
      <c r="H52" s="454"/>
      <c r="I52" s="454"/>
      <c r="J52" s="454"/>
      <c r="K52" s="454"/>
      <c r="L52" s="454"/>
      <c r="M52" s="454"/>
      <c r="N52" s="454"/>
      <c r="O52" s="454"/>
      <c r="P52" s="454"/>
    </row>
    <row r="53" spans="1:16" x14ac:dyDescent="0.25">
      <c r="A53" s="454"/>
      <c r="B53" s="454"/>
      <c r="C53" s="454"/>
      <c r="D53" s="454"/>
      <c r="E53" s="454"/>
      <c r="F53" s="454"/>
      <c r="G53" s="454"/>
      <c r="H53" s="454"/>
      <c r="I53" s="454"/>
      <c r="J53" s="454"/>
      <c r="K53" s="454"/>
      <c r="L53" s="454"/>
      <c r="M53" s="454"/>
      <c r="N53" s="454"/>
      <c r="O53" s="454"/>
      <c r="P53" s="454"/>
    </row>
    <row r="54" spans="1:16" x14ac:dyDescent="0.25">
      <c r="A54" s="454"/>
      <c r="B54" s="454"/>
      <c r="C54" s="454"/>
      <c r="D54" s="454"/>
      <c r="E54" s="454"/>
      <c r="F54" s="454"/>
      <c r="G54" s="454"/>
      <c r="H54" s="454"/>
      <c r="I54" s="454"/>
      <c r="J54" s="454"/>
      <c r="K54" s="454"/>
      <c r="L54" s="454"/>
      <c r="M54" s="454"/>
      <c r="N54" s="454"/>
      <c r="O54" s="454"/>
      <c r="P54" s="454"/>
    </row>
    <row r="55" spans="1:16" x14ac:dyDescent="0.25">
      <c r="A55" s="454"/>
      <c r="B55" s="454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54"/>
    </row>
  </sheetData>
  <sheetProtection algorithmName="SHA-512" hashValue="RF8EBakMQePwdM7hqzAouFsn2inZ1P1vK+07d/qyAdFJC0Lrhbov+AWAi8dQoWlHOeQ9b8lT7rps/XQCTFxtdQ==" saltValue="Z3AwSKYd0q2u7N+hP/HGYg==" spinCount="100000" sheet="1" objects="1" scenarios="1"/>
  <mergeCells count="14">
    <mergeCell ref="N21:O21"/>
    <mergeCell ref="B1:E1"/>
    <mergeCell ref="K4:O4"/>
    <mergeCell ref="L5:M5"/>
    <mergeCell ref="N5:O5"/>
    <mergeCell ref="A20:E20"/>
    <mergeCell ref="F20:J20"/>
    <mergeCell ref="K20:O20"/>
    <mergeCell ref="L21:M21"/>
    <mergeCell ref="I37:J37"/>
    <mergeCell ref="B21:C21"/>
    <mergeCell ref="D21:E21"/>
    <mergeCell ref="G21:H21"/>
    <mergeCell ref="I21:J21"/>
  </mergeCells>
  <conditionalFormatting sqref="H5">
    <cfRule type="cellIs" dxfId="7" priority="4" operator="greaterThan">
      <formula>20</formula>
    </cfRule>
  </conditionalFormatting>
  <conditionalFormatting sqref="F4">
    <cfRule type="cellIs" dxfId="6" priority="2" operator="lessThan">
      <formula>5</formula>
    </cfRule>
    <cfRule type="cellIs" dxfId="5" priority="3" operator="lessThan">
      <formula>5</formula>
    </cfRule>
  </conditionalFormatting>
  <conditionalFormatting sqref="F5">
    <cfRule type="cellIs" dxfId="4" priority="1" operator="lessThan">
      <formula>4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B29C5-AF0D-40EF-AC6D-E3013D047F93}">
  <sheetPr>
    <tabColor rgb="FFFF0000"/>
  </sheetPr>
  <dimension ref="A1:P55"/>
  <sheetViews>
    <sheetView topLeftCell="A4" workbookViewId="0">
      <selection activeCell="F51" sqref="F51"/>
    </sheetView>
  </sheetViews>
  <sheetFormatPr defaultColWidth="11.42578125" defaultRowHeight="15" x14ac:dyDescent="0.25"/>
  <cols>
    <col min="2" max="2" width="15.42578125" customWidth="1"/>
    <col min="3" max="3" width="17" customWidth="1"/>
    <col min="4" max="4" width="16.140625" customWidth="1"/>
    <col min="5" max="5" width="19.140625" customWidth="1"/>
    <col min="6" max="6" width="18.42578125" customWidth="1"/>
    <col min="7" max="7" width="16.28515625" customWidth="1"/>
    <col min="8" max="8" width="15.28515625" customWidth="1"/>
    <col min="9" max="9" width="16.7109375" customWidth="1"/>
    <col min="10" max="10" width="15.42578125" customWidth="1"/>
    <col min="11" max="11" width="15" customWidth="1"/>
    <col min="12" max="12" width="15.42578125" customWidth="1"/>
    <col min="13" max="13" width="17.42578125" customWidth="1"/>
    <col min="14" max="14" width="15.5703125" customWidth="1"/>
    <col min="15" max="15" width="14.5703125" customWidth="1"/>
  </cols>
  <sheetData>
    <row r="1" spans="1:16" ht="33.950000000000003" customHeight="1" thickBot="1" x14ac:dyDescent="0.55000000000000004">
      <c r="A1" s="303"/>
      <c r="B1" s="547" t="s">
        <v>85</v>
      </c>
      <c r="C1" s="548"/>
      <c r="D1" s="548"/>
      <c r="E1" s="549"/>
      <c r="F1" s="486" t="s">
        <v>89</v>
      </c>
      <c r="G1" s="303"/>
      <c r="H1" s="303"/>
      <c r="I1" s="303"/>
      <c r="J1" s="303"/>
      <c r="K1" s="303"/>
      <c r="L1" s="487"/>
      <c r="M1" s="487"/>
      <c r="N1" s="487"/>
      <c r="O1" s="487"/>
      <c r="P1" s="303"/>
    </row>
    <row r="2" spans="1:16" ht="32.1" customHeight="1" x14ac:dyDescent="0.4">
      <c r="A2" s="482" t="s">
        <v>61</v>
      </c>
      <c r="B2" s="305"/>
      <c r="C2" s="305"/>
      <c r="D2" s="303"/>
      <c r="E2" s="304"/>
      <c r="F2" s="429"/>
      <c r="G2" s="303"/>
      <c r="H2" s="303"/>
      <c r="I2" s="303"/>
      <c r="J2" s="303"/>
      <c r="K2" s="303"/>
      <c r="L2" s="430"/>
      <c r="M2" s="430"/>
      <c r="N2" s="430"/>
      <c r="O2" s="430"/>
      <c r="P2" s="303"/>
    </row>
    <row r="3" spans="1:16" ht="18.75" customHeight="1" thickBot="1" x14ac:dyDescent="0.3">
      <c r="A3" s="488" t="s">
        <v>56</v>
      </c>
      <c r="B3" s="303"/>
      <c r="C3" s="303"/>
      <c r="D3" s="303"/>
      <c r="E3" s="304"/>
      <c r="F3" s="429"/>
      <c r="G3" s="303"/>
      <c r="H3" s="303"/>
      <c r="I3" s="303"/>
      <c r="J3" s="303"/>
      <c r="K3" s="303"/>
      <c r="L3" s="303"/>
      <c r="M3" s="303"/>
      <c r="N3" s="303"/>
      <c r="O3" s="303"/>
      <c r="P3" s="303"/>
    </row>
    <row r="4" spans="1:16" ht="22.5" customHeight="1" thickBot="1" x14ac:dyDescent="0.4">
      <c r="A4" s="306"/>
      <c r="B4" s="307"/>
      <c r="C4" s="307"/>
      <c r="D4" s="307"/>
      <c r="E4" s="313" t="s">
        <v>0</v>
      </c>
      <c r="F4" s="314">
        <v>7</v>
      </c>
      <c r="G4" s="303"/>
      <c r="H4" s="315" t="s">
        <v>63</v>
      </c>
      <c r="I4" s="175"/>
      <c r="J4" s="303"/>
      <c r="K4" s="550" t="s">
        <v>1</v>
      </c>
      <c r="L4" s="551"/>
      <c r="M4" s="551"/>
      <c r="N4" s="551"/>
      <c r="O4" s="551"/>
      <c r="P4" s="303"/>
    </row>
    <row r="5" spans="1:16" ht="34.5" thickBot="1" x14ac:dyDescent="0.55000000000000004">
      <c r="A5" s="307"/>
      <c r="B5" s="307"/>
      <c r="C5" s="307"/>
      <c r="D5" s="307"/>
      <c r="E5" s="4" t="s">
        <v>2</v>
      </c>
      <c r="F5" s="316">
        <v>5</v>
      </c>
      <c r="G5" s="305"/>
      <c r="H5" s="318">
        <v>10</v>
      </c>
      <c r="I5" s="6" t="s">
        <v>3</v>
      </c>
      <c r="J5" s="431"/>
      <c r="K5" s="319"/>
      <c r="L5" s="552" t="s">
        <v>4</v>
      </c>
      <c r="M5" s="553"/>
      <c r="N5" s="554" t="s">
        <v>5</v>
      </c>
      <c r="O5" s="555"/>
      <c r="P5" s="303"/>
    </row>
    <row r="6" spans="1:16" ht="23.25" x14ac:dyDescent="0.35">
      <c r="A6" s="433"/>
      <c r="B6" s="307"/>
      <c r="C6" s="307"/>
      <c r="D6" s="307"/>
      <c r="E6" s="307"/>
      <c r="F6" s="307"/>
      <c r="G6" s="307"/>
      <c r="H6" s="315" t="s">
        <v>68</v>
      </c>
      <c r="I6" s="183"/>
      <c r="J6" s="307"/>
      <c r="K6" s="320"/>
      <c r="L6" s="266" t="s">
        <v>7</v>
      </c>
      <c r="M6" s="321" t="s">
        <v>8</v>
      </c>
      <c r="N6" s="322" t="s">
        <v>7</v>
      </c>
      <c r="O6" s="13" t="s">
        <v>8</v>
      </c>
      <c r="P6" s="303"/>
    </row>
    <row r="7" spans="1:16" x14ac:dyDescent="0.25">
      <c r="A7" s="433"/>
      <c r="B7" s="307"/>
      <c r="C7" s="307"/>
      <c r="D7" s="307"/>
      <c r="E7" s="307"/>
      <c r="F7" s="307"/>
      <c r="G7" s="307"/>
      <c r="H7" s="476"/>
      <c r="I7" s="307"/>
      <c r="J7" s="307"/>
      <c r="K7" s="323"/>
      <c r="L7" s="324" t="s">
        <v>15</v>
      </c>
      <c r="M7" s="325" t="s">
        <v>16</v>
      </c>
      <c r="N7" s="326" t="s">
        <v>17</v>
      </c>
      <c r="O7" s="327" t="s">
        <v>17</v>
      </c>
      <c r="P7" s="303"/>
    </row>
    <row r="8" spans="1:16" hidden="1" x14ac:dyDescent="0.25">
      <c r="A8" s="303"/>
      <c r="B8" s="303"/>
      <c r="C8" s="303"/>
      <c r="D8" s="303"/>
      <c r="E8" s="307"/>
      <c r="F8" s="307"/>
      <c r="G8" s="307"/>
      <c r="H8" s="307"/>
      <c r="I8" s="307"/>
      <c r="J8" s="307"/>
      <c r="K8" s="197" t="s">
        <v>20</v>
      </c>
      <c r="L8" s="29">
        <f>SUM(D38)*F4</f>
        <v>897.75</v>
      </c>
      <c r="M8" s="30">
        <f>SUM((E38)*F4)/2</f>
        <v>473.79500000000002</v>
      </c>
      <c r="N8" s="302">
        <f>SUM((D38)*F4)</f>
        <v>897.75</v>
      </c>
      <c r="O8" s="32">
        <f>SUM((E38)*F4)/2</f>
        <v>473.79500000000002</v>
      </c>
      <c r="P8" s="303"/>
    </row>
    <row r="9" spans="1:16" hidden="1" x14ac:dyDescent="0.25">
      <c r="A9" s="303"/>
      <c r="B9" s="303"/>
      <c r="C9" s="303"/>
      <c r="D9" s="303"/>
      <c r="E9" s="307"/>
      <c r="F9" s="307"/>
      <c r="G9" s="307"/>
      <c r="H9" s="307"/>
      <c r="I9" s="307"/>
      <c r="J9" s="307"/>
      <c r="K9" s="197"/>
      <c r="L9" s="37"/>
      <c r="M9" s="38"/>
      <c r="N9" s="328"/>
      <c r="O9" s="40"/>
      <c r="P9" s="303"/>
    </row>
    <row r="10" spans="1:16" hidden="1" x14ac:dyDescent="0.25">
      <c r="A10" s="306"/>
      <c r="B10" s="307"/>
      <c r="C10" s="307"/>
      <c r="D10" s="307"/>
      <c r="E10" s="307"/>
      <c r="F10" s="307"/>
      <c r="G10" s="307"/>
      <c r="H10" s="307"/>
      <c r="I10" s="307"/>
      <c r="J10" s="307"/>
      <c r="K10" s="197"/>
      <c r="L10" s="37"/>
      <c r="M10" s="38"/>
      <c r="N10" s="329" t="s">
        <v>25</v>
      </c>
      <c r="O10" s="46" t="s">
        <v>25</v>
      </c>
      <c r="P10" s="303"/>
    </row>
    <row r="11" spans="1:16" hidden="1" x14ac:dyDescent="0.25">
      <c r="A11" s="306"/>
      <c r="B11" s="307"/>
      <c r="C11" s="307"/>
      <c r="D11" s="307"/>
      <c r="E11" s="307"/>
      <c r="F11" s="307"/>
      <c r="G11" s="307"/>
      <c r="H11" s="307"/>
      <c r="I11" s="307"/>
      <c r="J11" s="307"/>
      <c r="K11" s="197"/>
      <c r="L11" s="37"/>
      <c r="M11" s="38"/>
      <c r="N11" s="328"/>
      <c r="O11" s="40"/>
      <c r="P11" s="303"/>
    </row>
    <row r="12" spans="1:16" hidden="1" x14ac:dyDescent="0.25">
      <c r="A12" s="306"/>
      <c r="B12" s="307"/>
      <c r="C12" s="307"/>
      <c r="D12" s="307"/>
      <c r="E12" s="307"/>
      <c r="F12" s="307"/>
      <c r="G12" s="307"/>
      <c r="H12" s="307"/>
      <c r="I12" s="307"/>
      <c r="J12" s="307"/>
      <c r="K12" s="197" t="s">
        <v>15</v>
      </c>
      <c r="L12" s="29">
        <f>SUM(E42*F5)</f>
        <v>487.5</v>
      </c>
      <c r="M12" s="30">
        <f>SUM(E42*F5)</f>
        <v>487.5</v>
      </c>
      <c r="N12" s="302">
        <v>0</v>
      </c>
      <c r="O12" s="32">
        <v>0</v>
      </c>
      <c r="P12" s="303"/>
    </row>
    <row r="13" spans="1:16" hidden="1" x14ac:dyDescent="0.25">
      <c r="A13" s="306"/>
      <c r="B13" s="307"/>
      <c r="C13" s="307"/>
      <c r="D13" s="307"/>
      <c r="E13" s="307"/>
      <c r="F13" s="307"/>
      <c r="G13" s="307"/>
      <c r="H13" s="307"/>
      <c r="I13" s="307"/>
      <c r="J13" s="307"/>
      <c r="K13" s="197" t="s">
        <v>4</v>
      </c>
      <c r="L13" s="29">
        <f>SUM(E43)</f>
        <v>87</v>
      </c>
      <c r="M13" s="30">
        <f>SUM(E43)</f>
        <v>87</v>
      </c>
      <c r="N13" s="302">
        <f>SUM(E43)</f>
        <v>87</v>
      </c>
      <c r="O13" s="32">
        <f>SUM(E43)</f>
        <v>87</v>
      </c>
      <c r="P13" s="303"/>
    </row>
    <row r="14" spans="1:16" hidden="1" x14ac:dyDescent="0.25">
      <c r="A14" s="306"/>
      <c r="B14" s="307"/>
      <c r="C14" s="307"/>
      <c r="D14" s="307"/>
      <c r="E14" s="307"/>
      <c r="F14" s="307"/>
      <c r="G14" s="307"/>
      <c r="H14" s="307"/>
      <c r="I14" s="307"/>
      <c r="J14" s="307"/>
      <c r="K14" s="197" t="s">
        <v>34</v>
      </c>
      <c r="L14" s="29">
        <f>SUM(E44)</f>
        <v>60</v>
      </c>
      <c r="M14" s="30">
        <f>SUM(E44)</f>
        <v>60</v>
      </c>
      <c r="N14" s="302">
        <f>SUM(E44)</f>
        <v>60</v>
      </c>
      <c r="O14" s="32">
        <f>SUM(L14)</f>
        <v>60</v>
      </c>
      <c r="P14" s="303"/>
    </row>
    <row r="15" spans="1:16" ht="15.75" hidden="1" x14ac:dyDescent="0.25">
      <c r="A15" s="307"/>
      <c r="B15" s="308"/>
      <c r="C15" s="307"/>
      <c r="D15" s="307"/>
      <c r="E15" s="307"/>
      <c r="F15" s="307"/>
      <c r="G15" s="307"/>
      <c r="H15" s="307"/>
      <c r="I15" s="307"/>
      <c r="J15" s="307"/>
      <c r="K15" s="197" t="s">
        <v>37</v>
      </c>
      <c r="L15" s="29">
        <f>SUM(E45)*F4</f>
        <v>119</v>
      </c>
      <c r="M15" s="30">
        <f>SUM(E45)*F4</f>
        <v>119</v>
      </c>
      <c r="N15" s="302">
        <f>SUM(E45)*F4</f>
        <v>119</v>
      </c>
      <c r="O15" s="32">
        <f>SUM(E45)*F4</f>
        <v>119</v>
      </c>
      <c r="P15" s="303"/>
    </row>
    <row r="16" spans="1:16" ht="16.5" hidden="1" thickBot="1" x14ac:dyDescent="0.3">
      <c r="A16" s="307"/>
      <c r="B16" s="308"/>
      <c r="C16" s="307"/>
      <c r="D16" s="307"/>
      <c r="E16" s="307"/>
      <c r="F16" s="307"/>
      <c r="G16" s="307"/>
      <c r="H16" s="307"/>
      <c r="I16" s="307"/>
      <c r="J16" s="307"/>
      <c r="K16" s="330" t="s">
        <v>35</v>
      </c>
      <c r="L16" s="53">
        <f>SUM((L8)*0.25)+(L15*0.15)</f>
        <v>242.28749999999999</v>
      </c>
      <c r="M16" s="53">
        <f>SUM((M8)*0.25)+(M15*0.15)</f>
        <v>136.29875000000001</v>
      </c>
      <c r="N16" s="331">
        <f>SUM((N8)*0.25)+(N15*0.15)</f>
        <v>242.28749999999999</v>
      </c>
      <c r="O16" s="331">
        <f>SUM((O8)*0.25)+(O15*0.15)</f>
        <v>136.29875000000001</v>
      </c>
      <c r="P16" s="303"/>
    </row>
    <row r="17" spans="1:16" ht="18.75" x14ac:dyDescent="0.3">
      <c r="A17" s="306"/>
      <c r="B17" s="307"/>
      <c r="C17" s="307"/>
      <c r="D17" s="307"/>
      <c r="E17" s="307"/>
      <c r="F17" s="307"/>
      <c r="G17" s="307"/>
      <c r="H17" s="307"/>
      <c r="I17" s="307"/>
      <c r="J17" s="432"/>
      <c r="K17" s="332" t="s">
        <v>39</v>
      </c>
      <c r="L17" s="333">
        <f>SUM(L8:L16)</f>
        <v>1893.5374999999999</v>
      </c>
      <c r="M17" s="334">
        <f>SUM(M8:M16)</f>
        <v>1363.59375</v>
      </c>
      <c r="N17" s="335">
        <f>SUM(N8:N16)</f>
        <v>1406.0374999999999</v>
      </c>
      <c r="O17" s="336">
        <f>SUM(O8:O16)</f>
        <v>876.09375000000011</v>
      </c>
      <c r="P17" s="303"/>
    </row>
    <row r="18" spans="1:16" ht="15.75" thickBot="1" x14ac:dyDescent="0.3">
      <c r="A18" s="433"/>
      <c r="B18" s="307"/>
      <c r="C18" s="307"/>
      <c r="D18" s="307"/>
      <c r="E18" s="307"/>
      <c r="F18" s="307"/>
      <c r="G18" s="307"/>
      <c r="H18" s="307"/>
      <c r="I18" s="307"/>
      <c r="J18" s="307"/>
      <c r="K18" s="337" t="s">
        <v>40</v>
      </c>
      <c r="L18" s="267">
        <f>SUM(L8+L12+L13)*H5/100</f>
        <v>147.22499999999999</v>
      </c>
      <c r="M18" s="58">
        <f>SUM(M8+M12+M13)*H5/100</f>
        <v>104.82950000000001</v>
      </c>
      <c r="N18" s="338">
        <f>SUM(N8+N12+N13)*H5/100</f>
        <v>98.474999999999994</v>
      </c>
      <c r="O18" s="60">
        <f>SUM(O8+O12+O13)*H5/100</f>
        <v>56.07950000000001</v>
      </c>
      <c r="P18" s="303"/>
    </row>
    <row r="19" spans="1:16" ht="15.75" thickBot="1" x14ac:dyDescent="0.3">
      <c r="A19" s="433"/>
      <c r="B19" s="307"/>
      <c r="C19" s="307"/>
      <c r="D19" s="307"/>
      <c r="E19" s="307"/>
      <c r="F19" s="307"/>
      <c r="G19" s="307"/>
      <c r="H19" s="307"/>
      <c r="I19" s="307"/>
      <c r="J19" s="307"/>
      <c r="K19" s="339" t="s">
        <v>41</v>
      </c>
      <c r="L19" s="53">
        <f>SUM(L17-L18)</f>
        <v>1746.3125</v>
      </c>
      <c r="M19" s="54">
        <f>SUM(M17-M18)</f>
        <v>1258.7642499999999</v>
      </c>
      <c r="N19" s="331">
        <f>SUM(N17-N18)</f>
        <v>1307.5625</v>
      </c>
      <c r="O19" s="55">
        <f>SUM(O17-O18)</f>
        <v>820.01425000000006</v>
      </c>
      <c r="P19" s="303"/>
    </row>
    <row r="20" spans="1:16" ht="21.75" thickBot="1" x14ac:dyDescent="0.4">
      <c r="A20" s="556" t="s">
        <v>42</v>
      </c>
      <c r="B20" s="557"/>
      <c r="C20" s="557"/>
      <c r="D20" s="557"/>
      <c r="E20" s="558"/>
      <c r="F20" s="559" t="s">
        <v>43</v>
      </c>
      <c r="G20" s="560"/>
      <c r="H20" s="560"/>
      <c r="I20" s="560"/>
      <c r="J20" s="561"/>
      <c r="K20" s="562" t="s">
        <v>45</v>
      </c>
      <c r="L20" s="563"/>
      <c r="M20" s="563"/>
      <c r="N20" s="563"/>
      <c r="O20" s="563"/>
      <c r="P20" s="303"/>
    </row>
    <row r="21" spans="1:16" ht="19.5" thickBot="1" x14ac:dyDescent="0.35">
      <c r="A21" s="340"/>
      <c r="B21" s="565" t="s">
        <v>4</v>
      </c>
      <c r="C21" s="566"/>
      <c r="D21" s="567" t="s">
        <v>5</v>
      </c>
      <c r="E21" s="568"/>
      <c r="F21" s="9"/>
      <c r="G21" s="569" t="s">
        <v>4</v>
      </c>
      <c r="H21" s="570"/>
      <c r="I21" s="571" t="s">
        <v>5</v>
      </c>
      <c r="J21" s="572"/>
      <c r="K21" s="341"/>
      <c r="L21" s="543" t="s">
        <v>4</v>
      </c>
      <c r="M21" s="544"/>
      <c r="N21" s="545" t="s">
        <v>5</v>
      </c>
      <c r="O21" s="546"/>
      <c r="P21" s="303"/>
    </row>
    <row r="22" spans="1:16" x14ac:dyDescent="0.25">
      <c r="A22" s="342"/>
      <c r="B22" s="68" t="s">
        <v>7</v>
      </c>
      <c r="C22" s="69" t="s">
        <v>8</v>
      </c>
      <c r="D22" s="70" t="s">
        <v>7</v>
      </c>
      <c r="E22" s="71" t="s">
        <v>8</v>
      </c>
      <c r="F22" s="67"/>
      <c r="G22" s="343" t="s">
        <v>7</v>
      </c>
      <c r="H22" s="73" t="s">
        <v>8</v>
      </c>
      <c r="I22" s="75" t="s">
        <v>7</v>
      </c>
      <c r="J22" s="76" t="s">
        <v>8</v>
      </c>
      <c r="K22" s="344"/>
      <c r="L22" s="345" t="s">
        <v>7</v>
      </c>
      <c r="M22" s="131" t="s">
        <v>8</v>
      </c>
      <c r="N22" s="346" t="s">
        <v>7</v>
      </c>
      <c r="O22" s="133" t="s">
        <v>8</v>
      </c>
      <c r="P22" s="303"/>
    </row>
    <row r="23" spans="1:16" x14ac:dyDescent="0.25">
      <c r="A23" s="342"/>
      <c r="B23" s="68" t="s">
        <v>44</v>
      </c>
      <c r="C23" s="78" t="s">
        <v>16</v>
      </c>
      <c r="D23" s="79" t="s">
        <v>17</v>
      </c>
      <c r="E23" s="80" t="s">
        <v>17</v>
      </c>
      <c r="F23" s="81"/>
      <c r="G23" s="347" t="s">
        <v>15</v>
      </c>
      <c r="H23" s="83" t="s">
        <v>16</v>
      </c>
      <c r="I23" s="84" t="s">
        <v>17</v>
      </c>
      <c r="J23" s="85" t="s">
        <v>17</v>
      </c>
      <c r="K23" s="348"/>
      <c r="L23" s="349" t="s">
        <v>15</v>
      </c>
      <c r="M23" s="136" t="s">
        <v>16</v>
      </c>
      <c r="N23" s="350" t="s">
        <v>17</v>
      </c>
      <c r="O23" s="138" t="s">
        <v>17</v>
      </c>
      <c r="P23" s="303"/>
    </row>
    <row r="24" spans="1:16" hidden="1" x14ac:dyDescent="0.25">
      <c r="A24" s="351" t="s">
        <v>20</v>
      </c>
      <c r="B24" s="87">
        <f>SUM(D39*F4)</f>
        <v>1147.3</v>
      </c>
      <c r="C24" s="88">
        <f>SUM((E39)*F4)/2</f>
        <v>598.5</v>
      </c>
      <c r="D24" s="89">
        <f>SUM((D39)*F4)</f>
        <v>1147.3</v>
      </c>
      <c r="E24" s="90">
        <f>SUM((E39)*F4)/2</f>
        <v>598.5</v>
      </c>
      <c r="F24" s="28" t="s">
        <v>20</v>
      </c>
      <c r="G24" s="352">
        <f>SUM((D40)*F4)</f>
        <v>1271.76</v>
      </c>
      <c r="H24" s="92">
        <f>SUM((E40)*F4)/2</f>
        <v>660.80000000000007</v>
      </c>
      <c r="I24" s="93">
        <f>SUM(D40*F4)</f>
        <v>1271.76</v>
      </c>
      <c r="J24" s="94">
        <f>SUM((E40)*F4)/2</f>
        <v>660.80000000000007</v>
      </c>
      <c r="K24" s="28" t="s">
        <v>20</v>
      </c>
      <c r="L24" s="353">
        <f>SUM((D41)*F4)</f>
        <v>1489.6000000000001</v>
      </c>
      <c r="M24" s="141">
        <f>SUM((E41)*F4)/2</f>
        <v>723.17000000000007</v>
      </c>
      <c r="N24" s="354">
        <f>SUM((D41)*F4)</f>
        <v>1489.6000000000001</v>
      </c>
      <c r="O24" s="143">
        <f>SUM((E41)*F4)/2</f>
        <v>723.17000000000007</v>
      </c>
      <c r="P24" s="303"/>
    </row>
    <row r="25" spans="1:16" hidden="1" x14ac:dyDescent="0.25">
      <c r="A25" s="351"/>
      <c r="B25" s="97"/>
      <c r="C25" s="98"/>
      <c r="D25" s="99"/>
      <c r="E25" s="100"/>
      <c r="F25" s="28"/>
      <c r="G25" s="355"/>
      <c r="H25" s="102"/>
      <c r="I25" s="103"/>
      <c r="J25" s="104"/>
      <c r="K25" s="28"/>
      <c r="L25" s="356"/>
      <c r="M25" s="145"/>
      <c r="N25" s="357"/>
      <c r="O25" s="147"/>
      <c r="P25" s="303"/>
    </row>
    <row r="26" spans="1:16" hidden="1" x14ac:dyDescent="0.25">
      <c r="A26" s="351"/>
      <c r="B26" s="68"/>
      <c r="C26" s="98"/>
      <c r="D26" s="105"/>
      <c r="E26" s="106"/>
      <c r="F26" s="28"/>
      <c r="G26" s="358"/>
      <c r="H26" s="108"/>
      <c r="I26" s="109"/>
      <c r="J26" s="110"/>
      <c r="K26" s="28"/>
      <c r="L26" s="356"/>
      <c r="M26" s="148"/>
      <c r="N26" s="357"/>
      <c r="O26" s="149"/>
      <c r="P26" s="303"/>
    </row>
    <row r="27" spans="1:16" hidden="1" x14ac:dyDescent="0.25">
      <c r="A27" s="351"/>
      <c r="B27" s="97"/>
      <c r="C27" s="98"/>
      <c r="D27" s="99"/>
      <c r="E27" s="100"/>
      <c r="F27" s="28"/>
      <c r="G27" s="355"/>
      <c r="H27" s="102"/>
      <c r="I27" s="103"/>
      <c r="J27" s="104"/>
      <c r="K27" s="28"/>
      <c r="L27" s="356"/>
      <c r="M27" s="145"/>
      <c r="N27" s="357"/>
      <c r="O27" s="147"/>
      <c r="P27" s="303"/>
    </row>
    <row r="28" spans="1:16" hidden="1" x14ac:dyDescent="0.25">
      <c r="A28" s="351" t="s">
        <v>15</v>
      </c>
      <c r="B28" s="409">
        <f>SUM(E42*F5)</f>
        <v>487.5</v>
      </c>
      <c r="C28" s="88">
        <f>SUM(E42*F5)</f>
        <v>487.5</v>
      </c>
      <c r="D28" s="89">
        <v>0</v>
      </c>
      <c r="E28" s="90">
        <v>0</v>
      </c>
      <c r="F28" s="28" t="s">
        <v>15</v>
      </c>
      <c r="G28" s="352">
        <f>SUM(E42*F5)</f>
        <v>487.5</v>
      </c>
      <c r="H28" s="92">
        <f>SUM(E42*F5)</f>
        <v>487.5</v>
      </c>
      <c r="I28" s="93">
        <v>0</v>
      </c>
      <c r="J28" s="94">
        <v>0</v>
      </c>
      <c r="K28" s="28" t="s">
        <v>15</v>
      </c>
      <c r="L28" s="353">
        <f>SUM(E42*F5)</f>
        <v>487.5</v>
      </c>
      <c r="M28" s="141">
        <f>SUM(E42*F5)</f>
        <v>487.5</v>
      </c>
      <c r="N28" s="354">
        <v>0</v>
      </c>
      <c r="O28" s="143">
        <v>0</v>
      </c>
      <c r="P28" s="303"/>
    </row>
    <row r="29" spans="1:16" hidden="1" x14ac:dyDescent="0.25">
      <c r="A29" s="351" t="s">
        <v>4</v>
      </c>
      <c r="B29" s="409">
        <f>SUM(E43)</f>
        <v>87</v>
      </c>
      <c r="C29" s="88">
        <f>SUM(E43)</f>
        <v>87</v>
      </c>
      <c r="D29" s="89">
        <f>SUM(E43)</f>
        <v>87</v>
      </c>
      <c r="E29" s="90">
        <f>SUM(E43)</f>
        <v>87</v>
      </c>
      <c r="F29" s="28" t="s">
        <v>4</v>
      </c>
      <c r="G29" s="352">
        <f>SUM(E43)</f>
        <v>87</v>
      </c>
      <c r="H29" s="92">
        <f>SUM(E43)</f>
        <v>87</v>
      </c>
      <c r="I29" s="93">
        <f>SUM(E43)</f>
        <v>87</v>
      </c>
      <c r="J29" s="94">
        <f>SUM(E43)</f>
        <v>87</v>
      </c>
      <c r="K29" s="28" t="s">
        <v>4</v>
      </c>
      <c r="L29" s="353">
        <f>SUM(E43)</f>
        <v>87</v>
      </c>
      <c r="M29" s="141">
        <f>SUM(E43)</f>
        <v>87</v>
      </c>
      <c r="N29" s="354">
        <f>SUM(E43)</f>
        <v>87</v>
      </c>
      <c r="O29" s="143">
        <f>SUM(E43)</f>
        <v>87</v>
      </c>
      <c r="P29" s="303"/>
    </row>
    <row r="30" spans="1:16" hidden="1" x14ac:dyDescent="0.25">
      <c r="A30" s="351" t="s">
        <v>34</v>
      </c>
      <c r="B30" s="409">
        <f>SUM(E44)</f>
        <v>60</v>
      </c>
      <c r="C30" s="88">
        <f>SUM(E44)</f>
        <v>60</v>
      </c>
      <c r="D30" s="89">
        <f>SUM(E44)</f>
        <v>60</v>
      </c>
      <c r="E30" s="90">
        <f>SUM(B30)</f>
        <v>60</v>
      </c>
      <c r="F30" s="28" t="s">
        <v>34</v>
      </c>
      <c r="G30" s="352">
        <f>SUM(E44)</f>
        <v>60</v>
      </c>
      <c r="H30" s="92">
        <f>SUM(E44)</f>
        <v>60</v>
      </c>
      <c r="I30" s="93">
        <f>SUM(E44)</f>
        <v>60</v>
      </c>
      <c r="J30" s="94">
        <f>SUM(E44)</f>
        <v>60</v>
      </c>
      <c r="K30" s="28" t="s">
        <v>34</v>
      </c>
      <c r="L30" s="353">
        <f>SUM(E44)</f>
        <v>60</v>
      </c>
      <c r="M30" s="141">
        <f>SUM(E44)</f>
        <v>60</v>
      </c>
      <c r="N30" s="354">
        <f>SUM(E44)</f>
        <v>60</v>
      </c>
      <c r="O30" s="143">
        <f>SUM(E44)</f>
        <v>60</v>
      </c>
      <c r="P30" s="303"/>
    </row>
    <row r="31" spans="1:16" hidden="1" x14ac:dyDescent="0.25">
      <c r="A31" s="351" t="s">
        <v>37</v>
      </c>
      <c r="B31" s="409">
        <f>SUM(E45)*F4</f>
        <v>119</v>
      </c>
      <c r="C31" s="88">
        <f>SUM(E45)*F4</f>
        <v>119</v>
      </c>
      <c r="D31" s="89">
        <f>SUM(E45)*F4</f>
        <v>119</v>
      </c>
      <c r="E31" s="90">
        <f>SUM(E45)*F4</f>
        <v>119</v>
      </c>
      <c r="F31" s="28" t="s">
        <v>37</v>
      </c>
      <c r="G31" s="352">
        <f>SUM(E45)*F4</f>
        <v>119</v>
      </c>
      <c r="H31" s="92">
        <f>SUM(E45)*F4</f>
        <v>119</v>
      </c>
      <c r="I31" s="116">
        <f>SUM(E45)*F4</f>
        <v>119</v>
      </c>
      <c r="J31" s="94">
        <f>SUM(E45)*F4</f>
        <v>119</v>
      </c>
      <c r="K31" s="28" t="s">
        <v>46</v>
      </c>
      <c r="L31" s="353">
        <f>SUM(E45)*F4</f>
        <v>119</v>
      </c>
      <c r="M31" s="141">
        <f>SUM(E45)*F4</f>
        <v>119</v>
      </c>
      <c r="N31" s="354">
        <f>SUM(E45)*F4</f>
        <v>119</v>
      </c>
      <c r="O31" s="143">
        <f>SUM(E45)*F4</f>
        <v>119</v>
      </c>
      <c r="P31" s="303"/>
    </row>
    <row r="32" spans="1:16" hidden="1" x14ac:dyDescent="0.25">
      <c r="A32" s="351" t="s">
        <v>35</v>
      </c>
      <c r="B32" s="410">
        <f>SUM((B24)*0.25)+(B31*0.15)</f>
        <v>304.67500000000001</v>
      </c>
      <c r="C32" s="410">
        <f>SUM((C24)*0.25)+(C31*0.15)</f>
        <v>167.47499999999999</v>
      </c>
      <c r="D32" s="411">
        <f>SUM((D24)*0.25)+(D31*0.15)</f>
        <v>304.67500000000001</v>
      </c>
      <c r="E32" s="411">
        <f>SUM((E24)*0.25)+(E31*0.15)</f>
        <v>167.47499999999999</v>
      </c>
      <c r="F32" s="28" t="s">
        <v>35</v>
      </c>
      <c r="G32" s="359">
        <f>SUM((G24)*0.25)+(G31*0.15)</f>
        <v>335.79</v>
      </c>
      <c r="H32" s="359">
        <f>SUM((H24)*0.25)+(H31*0.15)</f>
        <v>183.05</v>
      </c>
      <c r="I32" s="360">
        <f>SUM((I24)*0.25)+(I31*0.15)</f>
        <v>335.79</v>
      </c>
      <c r="J32" s="360">
        <f>SUM((J24)*0.25)+(J31*0.15)</f>
        <v>183.05</v>
      </c>
      <c r="K32" s="28" t="s">
        <v>35</v>
      </c>
      <c r="L32" s="361">
        <f>SUM((L24)*0.25)+(L31*0.15)</f>
        <v>390.25000000000006</v>
      </c>
      <c r="M32" s="361">
        <f>SUM((M24)*0.25)+(M31*0.15)</f>
        <v>198.64250000000001</v>
      </c>
      <c r="N32" s="362">
        <f>SUM((N24)*0.25)+(N31*0.15)</f>
        <v>390.25000000000006</v>
      </c>
      <c r="O32" s="362">
        <f>SUM((O24)*0.25)+(O31*0.15)</f>
        <v>198.64250000000001</v>
      </c>
      <c r="P32" s="303"/>
    </row>
    <row r="33" spans="1:16" ht="18.75" x14ac:dyDescent="0.3">
      <c r="A33" s="363" t="s">
        <v>39</v>
      </c>
      <c r="B33" s="364">
        <f>SUM(B24:B32)</f>
        <v>2205.4749999999999</v>
      </c>
      <c r="C33" s="365">
        <f>SUM(C24:C32)</f>
        <v>1519.4749999999999</v>
      </c>
      <c r="D33" s="366">
        <f>SUM(D24:D32)</f>
        <v>1717.9749999999999</v>
      </c>
      <c r="E33" s="367">
        <f>SUM(E24:E32)</f>
        <v>1031.9749999999999</v>
      </c>
      <c r="F33" s="368" t="s">
        <v>39</v>
      </c>
      <c r="G33" s="369">
        <f>SUM(G24:G32)</f>
        <v>2361.0500000000002</v>
      </c>
      <c r="H33" s="122">
        <f>SUM(H24:H32)</f>
        <v>1597.3500000000001</v>
      </c>
      <c r="I33" s="370">
        <f>SUM(I24:I32)</f>
        <v>1873.55</v>
      </c>
      <c r="J33" s="371">
        <f>SUM(J24:J32)</f>
        <v>1109.8500000000001</v>
      </c>
      <c r="K33" s="368" t="s">
        <v>39</v>
      </c>
      <c r="L33" s="372">
        <f>SUM(L24:L32)</f>
        <v>2633.3500000000004</v>
      </c>
      <c r="M33" s="373">
        <f>SUM(M24:M32)</f>
        <v>1675.3125</v>
      </c>
      <c r="N33" s="374">
        <f>SUM(N24:N32)</f>
        <v>2145.8500000000004</v>
      </c>
      <c r="O33" s="375">
        <f>SUM(O24:O32)</f>
        <v>1187.8125</v>
      </c>
      <c r="P33" s="303"/>
    </row>
    <row r="34" spans="1:16" ht="15.75" thickBot="1" x14ac:dyDescent="0.3">
      <c r="A34" s="376" t="s">
        <v>40</v>
      </c>
      <c r="B34" s="377">
        <f>SUM(B24+B28+B29)*H5/100</f>
        <v>172.18</v>
      </c>
      <c r="C34" s="378">
        <f>SUM(C24+C28+C29)*H5/100</f>
        <v>117.3</v>
      </c>
      <c r="D34" s="379">
        <f>SUM(D24+D28+D29)*H5/100</f>
        <v>123.43</v>
      </c>
      <c r="E34" s="380">
        <f>SUM(E24+E28+E29)*H5/100</f>
        <v>68.55</v>
      </c>
      <c r="F34" s="28" t="s">
        <v>40</v>
      </c>
      <c r="G34" s="381">
        <f>SUM(G24+G28+G29)*H5/100</f>
        <v>184.62599999999998</v>
      </c>
      <c r="H34" s="382">
        <f>SUM(H24+H28+H29)*H5/100</f>
        <v>123.53000000000002</v>
      </c>
      <c r="I34" s="383">
        <f>SUM(I24+I28+I29)*H5/100</f>
        <v>135.876</v>
      </c>
      <c r="J34" s="384">
        <f>SUM(J24+J28+J29)*H5/100</f>
        <v>74.780000000000015</v>
      </c>
      <c r="K34" s="124" t="s">
        <v>40</v>
      </c>
      <c r="L34" s="385">
        <f>SUM(L24+L28+L29)*H5/100</f>
        <v>206.41000000000003</v>
      </c>
      <c r="M34" s="386">
        <f>SUM(M24+M28+M29)*H5/100</f>
        <v>129.767</v>
      </c>
      <c r="N34" s="387">
        <f>SUM(N24+N28+N29)*H5/100</f>
        <v>157.66000000000003</v>
      </c>
      <c r="O34" s="388">
        <f>SUM(O24+O28+O29)*H5/100</f>
        <v>81.01700000000001</v>
      </c>
      <c r="P34" s="303"/>
    </row>
    <row r="35" spans="1:16" ht="15.75" thickBot="1" x14ac:dyDescent="0.3">
      <c r="A35" s="363" t="s">
        <v>41</v>
      </c>
      <c r="B35" s="389">
        <f>SUM(B33-B34)</f>
        <v>2033.2949999999998</v>
      </c>
      <c r="C35" s="390">
        <f>SUM(C33-C34)</f>
        <v>1402.175</v>
      </c>
      <c r="D35" s="391">
        <f>SUM(D33-D34)</f>
        <v>1594.5449999999998</v>
      </c>
      <c r="E35" s="392">
        <f>SUM(E33-E34)</f>
        <v>963.42499999999995</v>
      </c>
      <c r="F35" s="393" t="s">
        <v>41</v>
      </c>
      <c r="G35" s="394">
        <f>SUM(G33-G34)</f>
        <v>2176.424</v>
      </c>
      <c r="H35" s="127">
        <f>SUM(H33-H34)</f>
        <v>1473.8200000000002</v>
      </c>
      <c r="I35" s="395">
        <f>SUM(I33-I34)</f>
        <v>1737.674</v>
      </c>
      <c r="J35" s="94">
        <f>SUM(J33-J34)</f>
        <v>1035.0700000000002</v>
      </c>
      <c r="K35" s="393" t="s">
        <v>41</v>
      </c>
      <c r="L35" s="396">
        <f>SUM(L33-L34)</f>
        <v>2426.9400000000005</v>
      </c>
      <c r="M35" s="397">
        <f>SUM(M33-M34)</f>
        <v>1545.5454999999999</v>
      </c>
      <c r="N35" s="398">
        <f>SUM(N33-N34)</f>
        <v>1988.1900000000003</v>
      </c>
      <c r="O35" s="388">
        <f>SUM(O33-O34)</f>
        <v>1106.7954999999999</v>
      </c>
      <c r="P35" s="303"/>
    </row>
    <row r="36" spans="1:16" x14ac:dyDescent="0.25">
      <c r="A36" s="307"/>
      <c r="B36" s="434"/>
      <c r="C36" s="307"/>
      <c r="D36" s="307"/>
      <c r="E36" s="307"/>
      <c r="F36" s="307"/>
      <c r="G36" s="307"/>
      <c r="H36" s="307"/>
      <c r="I36" s="434"/>
      <c r="J36" s="303"/>
      <c r="K36" s="303"/>
      <c r="L36" s="303"/>
      <c r="M36" s="303"/>
      <c r="N36" s="303"/>
      <c r="O36" s="303"/>
      <c r="P36" s="303"/>
    </row>
    <row r="37" spans="1:16" hidden="1" x14ac:dyDescent="0.25">
      <c r="A37" s="307"/>
      <c r="B37" s="399"/>
      <c r="C37" s="317" t="s">
        <v>6</v>
      </c>
      <c r="D37" s="400" t="s">
        <v>7</v>
      </c>
      <c r="E37" s="400" t="s">
        <v>8</v>
      </c>
      <c r="F37" s="400" t="s">
        <v>9</v>
      </c>
      <c r="G37" s="400" t="s">
        <v>10</v>
      </c>
      <c r="H37" s="307"/>
      <c r="I37" s="574" t="s">
        <v>14</v>
      </c>
      <c r="J37" s="575"/>
      <c r="K37" s="306"/>
      <c r="L37" s="307"/>
      <c r="M37" s="307"/>
      <c r="N37" s="303"/>
      <c r="O37" s="303"/>
      <c r="P37" s="303"/>
    </row>
    <row r="38" spans="1:16" hidden="1" x14ac:dyDescent="0.25">
      <c r="A38" s="307"/>
      <c r="B38" s="401" t="s">
        <v>12</v>
      </c>
      <c r="C38" s="15" t="s">
        <v>13</v>
      </c>
      <c r="D38" s="16">
        <v>128.25</v>
      </c>
      <c r="E38" s="17">
        <v>135.37</v>
      </c>
      <c r="F38" s="17">
        <v>142.5</v>
      </c>
      <c r="G38" s="18">
        <v>149.62</v>
      </c>
      <c r="H38" s="307"/>
      <c r="I38" s="447" t="s">
        <v>19</v>
      </c>
      <c r="J38" s="448">
        <v>30</v>
      </c>
      <c r="K38" s="306"/>
      <c r="L38" s="307"/>
      <c r="M38" s="307"/>
      <c r="N38" s="303"/>
      <c r="O38" s="303"/>
      <c r="P38" s="303"/>
    </row>
    <row r="39" spans="1:16" hidden="1" x14ac:dyDescent="0.25">
      <c r="A39" s="307"/>
      <c r="B39" s="401" t="s">
        <v>12</v>
      </c>
      <c r="C39" s="23" t="s">
        <v>18</v>
      </c>
      <c r="D39" s="24">
        <v>163.9</v>
      </c>
      <c r="E39" s="25">
        <v>171</v>
      </c>
      <c r="F39" s="25">
        <v>178.1</v>
      </c>
      <c r="G39" s="26">
        <v>185.25</v>
      </c>
      <c r="H39" s="307"/>
      <c r="I39" s="447"/>
      <c r="J39" s="448">
        <v>0</v>
      </c>
      <c r="K39" s="307"/>
      <c r="L39" s="307"/>
      <c r="M39" s="307"/>
      <c r="N39" s="303"/>
      <c r="O39" s="303"/>
      <c r="P39" s="303"/>
    </row>
    <row r="40" spans="1:16" hidden="1" x14ac:dyDescent="0.25">
      <c r="A40" s="307"/>
      <c r="B40" s="401" t="s">
        <v>12</v>
      </c>
      <c r="C40" s="33" t="s">
        <v>21</v>
      </c>
      <c r="D40" s="34">
        <v>181.68</v>
      </c>
      <c r="E40" s="35">
        <v>188.8</v>
      </c>
      <c r="F40" s="35">
        <v>209</v>
      </c>
      <c r="G40" s="36">
        <v>216.6</v>
      </c>
      <c r="H40" s="307"/>
      <c r="I40" s="447" t="s">
        <v>24</v>
      </c>
      <c r="J40" s="448">
        <v>10</v>
      </c>
      <c r="K40" s="433"/>
      <c r="L40" s="307"/>
      <c r="M40" s="307"/>
      <c r="N40" s="303"/>
      <c r="O40" s="303"/>
      <c r="P40" s="303"/>
    </row>
    <row r="41" spans="1:16" hidden="1" x14ac:dyDescent="0.25">
      <c r="A41" s="307"/>
      <c r="B41" s="401" t="s">
        <v>12</v>
      </c>
      <c r="C41" s="41" t="s">
        <v>23</v>
      </c>
      <c r="D41" s="42">
        <v>212.8</v>
      </c>
      <c r="E41" s="43">
        <v>206.62</v>
      </c>
      <c r="F41" s="43">
        <v>213.75</v>
      </c>
      <c r="G41" s="44">
        <v>220.9</v>
      </c>
      <c r="H41" s="307"/>
      <c r="I41" s="449" t="s">
        <v>57</v>
      </c>
      <c r="J41" s="448">
        <v>20</v>
      </c>
      <c r="K41" s="433"/>
      <c r="L41" s="307"/>
      <c r="M41" s="307"/>
      <c r="N41" s="303"/>
      <c r="O41" s="303"/>
      <c r="P41" s="303"/>
    </row>
    <row r="42" spans="1:16" hidden="1" x14ac:dyDescent="0.25">
      <c r="A42" s="307"/>
      <c r="B42" s="402" t="s">
        <v>12</v>
      </c>
      <c r="C42" s="48" t="s">
        <v>26</v>
      </c>
      <c r="D42" s="49"/>
      <c r="E42" s="403">
        <v>97.5</v>
      </c>
      <c r="F42" s="49" t="s">
        <v>27</v>
      </c>
      <c r="G42" s="303"/>
      <c r="H42" s="307"/>
      <c r="I42" s="450" t="s">
        <v>58</v>
      </c>
      <c r="J42" s="448">
        <v>0</v>
      </c>
      <c r="K42" s="303"/>
      <c r="L42" s="307"/>
      <c r="M42" s="307"/>
      <c r="N42" s="303"/>
      <c r="O42" s="303"/>
      <c r="P42" s="303"/>
    </row>
    <row r="43" spans="1:16" hidden="1" x14ac:dyDescent="0.25">
      <c r="A43" s="307"/>
      <c r="B43" s="404"/>
      <c r="C43" s="405" t="s">
        <v>71</v>
      </c>
      <c r="D43" s="406"/>
      <c r="E43" s="407">
        <v>87</v>
      </c>
      <c r="F43" s="406"/>
      <c r="G43" s="303"/>
      <c r="H43" s="307"/>
      <c r="I43" s="450" t="s">
        <v>59</v>
      </c>
      <c r="J43" s="448">
        <v>10</v>
      </c>
      <c r="K43" s="303"/>
      <c r="L43" s="307"/>
      <c r="M43" s="307"/>
      <c r="N43" s="303"/>
      <c r="O43" s="303"/>
      <c r="P43" s="303"/>
    </row>
    <row r="44" spans="1:16" hidden="1" x14ac:dyDescent="0.25">
      <c r="A44" s="307"/>
      <c r="B44" s="408" t="s">
        <v>28</v>
      </c>
      <c r="C44" s="209" t="s">
        <v>14</v>
      </c>
      <c r="D44" s="7"/>
      <c r="E44" s="207">
        <v>60</v>
      </c>
      <c r="F44" s="7" t="s">
        <v>29</v>
      </c>
      <c r="G44" s="303"/>
      <c r="H44" s="307"/>
      <c r="I44" s="450" t="s">
        <v>64</v>
      </c>
      <c r="J44" s="451">
        <v>10</v>
      </c>
      <c r="K44" s="303"/>
      <c r="L44" s="303"/>
      <c r="M44" s="303"/>
      <c r="N44" s="303"/>
      <c r="O44" s="303"/>
      <c r="P44" s="303"/>
    </row>
    <row r="45" spans="1:16" hidden="1" x14ac:dyDescent="0.25">
      <c r="A45" s="307"/>
      <c r="B45" s="408" t="s">
        <v>28</v>
      </c>
      <c r="C45" s="7" t="s">
        <v>31</v>
      </c>
      <c r="D45" s="7"/>
      <c r="E45" s="198">
        <v>17</v>
      </c>
      <c r="F45" s="7" t="s">
        <v>32</v>
      </c>
      <c r="G45" s="303"/>
      <c r="H45" s="307"/>
      <c r="I45" s="450" t="s">
        <v>65</v>
      </c>
      <c r="J45" s="451">
        <v>0</v>
      </c>
      <c r="K45" s="303"/>
      <c r="L45" s="303"/>
      <c r="M45" s="303"/>
      <c r="N45" s="303"/>
      <c r="O45" s="303"/>
      <c r="P45" s="303"/>
    </row>
    <row r="46" spans="1:16" hidden="1" x14ac:dyDescent="0.25">
      <c r="A46" s="307"/>
      <c r="B46" s="408" t="s">
        <v>28</v>
      </c>
      <c r="C46" s="7" t="s">
        <v>35</v>
      </c>
      <c r="D46" s="201" t="s">
        <v>73</v>
      </c>
      <c r="E46" s="201"/>
      <c r="F46" s="7"/>
      <c r="G46" s="303"/>
      <c r="H46" s="307"/>
      <c r="I46" s="450" t="s">
        <v>66</v>
      </c>
      <c r="J46" s="451">
        <v>57</v>
      </c>
      <c r="K46" s="303"/>
      <c r="L46" s="303"/>
      <c r="M46" s="303"/>
      <c r="N46" s="303"/>
      <c r="O46" s="303"/>
      <c r="P46" s="303"/>
    </row>
    <row r="47" spans="1:16" ht="21" x14ac:dyDescent="0.25">
      <c r="A47" s="472"/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</row>
    <row r="48" spans="1:16" ht="21" x14ac:dyDescent="0.35">
      <c r="A48" s="480" t="s">
        <v>88</v>
      </c>
      <c r="B48" s="481"/>
      <c r="C48" s="481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</row>
    <row r="49" spans="1:16" ht="21" x14ac:dyDescent="0.35">
      <c r="A49" s="480"/>
      <c r="B49" s="481"/>
      <c r="C49" s="481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</row>
    <row r="50" spans="1:16" x14ac:dyDescent="0.25">
      <c r="A50" s="303"/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</row>
    <row r="51" spans="1:16" x14ac:dyDescent="0.25">
      <c r="A51" s="303"/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</row>
    <row r="52" spans="1:16" x14ac:dyDescent="0.25">
      <c r="A52" s="303"/>
      <c r="B52" s="303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</row>
    <row r="53" spans="1:16" x14ac:dyDescent="0.25">
      <c r="A53" s="303"/>
      <c r="B53" s="303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</row>
    <row r="54" spans="1:16" x14ac:dyDescent="0.25">
      <c r="A54" s="303"/>
      <c r="B54" s="303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</row>
    <row r="55" spans="1:16" x14ac:dyDescent="0.25">
      <c r="A55" s="303"/>
      <c r="B55" s="303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3"/>
    </row>
  </sheetData>
  <sheetProtection algorithmName="SHA-512" hashValue="ej4L6d8+wiuoIggtDpijNOdUH0q6PxCPxe89euNaWKXJ0balQzAB83E6YoCqAhHbhqQPm9HILDiSyQXW1t3bWw==" saltValue="oakjxu+1avxbNtOmvCkLvA==" spinCount="100000" sheet="1" objects="1" scenarios="1"/>
  <mergeCells count="14">
    <mergeCell ref="N21:O21"/>
    <mergeCell ref="B1:E1"/>
    <mergeCell ref="K4:O4"/>
    <mergeCell ref="L5:M5"/>
    <mergeCell ref="N5:O5"/>
    <mergeCell ref="A20:E20"/>
    <mergeCell ref="F20:J20"/>
    <mergeCell ref="K20:O20"/>
    <mergeCell ref="L21:M21"/>
    <mergeCell ref="I37:J37"/>
    <mergeCell ref="B21:C21"/>
    <mergeCell ref="D21:E21"/>
    <mergeCell ref="G21:H21"/>
    <mergeCell ref="I21:J21"/>
  </mergeCells>
  <conditionalFormatting sqref="H5">
    <cfRule type="cellIs" dxfId="3" priority="4" operator="greaterThan">
      <formula>20</formula>
    </cfRule>
  </conditionalFormatting>
  <conditionalFormatting sqref="F4">
    <cfRule type="cellIs" dxfId="2" priority="2" operator="lessThan">
      <formula>5</formula>
    </cfRule>
    <cfRule type="cellIs" dxfId="1" priority="3" operator="lessThan">
      <formula>5</formula>
    </cfRule>
  </conditionalFormatting>
  <conditionalFormatting sqref="F5">
    <cfRule type="cellIs" dxfId="0" priority="1" operator="lessThan">
      <formula>4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3EE46-167D-4E04-B8D2-1942E1F8D1B7}">
  <sheetPr>
    <tabColor rgb="FF00B0F0"/>
  </sheetPr>
  <dimension ref="A1:H32"/>
  <sheetViews>
    <sheetView tabSelected="1" workbookViewId="0">
      <selection activeCell="E40" sqref="E40"/>
    </sheetView>
  </sheetViews>
  <sheetFormatPr defaultRowHeight="15" x14ac:dyDescent="0.25"/>
  <cols>
    <col min="1" max="1" width="64.85546875" style="159" customWidth="1"/>
    <col min="2" max="2" width="11" style="159" customWidth="1"/>
    <col min="3" max="5" width="9.140625" style="159"/>
    <col min="6" max="6" width="15.7109375" style="159" customWidth="1"/>
    <col min="7" max="7" width="9.140625" style="159"/>
    <col min="8" max="8" width="20.28515625" style="159" customWidth="1"/>
    <col min="9" max="16384" width="9.140625" style="159"/>
  </cols>
  <sheetData>
    <row r="1" spans="1:8" x14ac:dyDescent="0.25">
      <c r="A1" s="160" t="s">
        <v>119</v>
      </c>
    </row>
    <row r="2" spans="1:8" x14ac:dyDescent="0.25">
      <c r="A2" s="160" t="s">
        <v>118</v>
      </c>
    </row>
    <row r="3" spans="1:8" x14ac:dyDescent="0.25">
      <c r="A3" s="159" t="s">
        <v>117</v>
      </c>
    </row>
    <row r="4" spans="1:8" x14ac:dyDescent="0.25">
      <c r="A4" s="160" t="s">
        <v>116</v>
      </c>
    </row>
    <row r="5" spans="1:8" x14ac:dyDescent="0.25">
      <c r="A5" s="159" t="s">
        <v>115</v>
      </c>
    </row>
    <row r="6" spans="1:8" x14ac:dyDescent="0.25">
      <c r="A6" s="159" t="s">
        <v>114</v>
      </c>
    </row>
    <row r="7" spans="1:8" x14ac:dyDescent="0.25">
      <c r="A7" s="159" t="s">
        <v>113</v>
      </c>
    </row>
    <row r="8" spans="1:8" x14ac:dyDescent="0.25">
      <c r="A8" s="160" t="s">
        <v>112</v>
      </c>
    </row>
    <row r="9" spans="1:8" x14ac:dyDescent="0.25">
      <c r="A9" s="160"/>
    </row>
    <row r="11" spans="1:8" x14ac:dyDescent="0.25">
      <c r="A11" s="541" t="s">
        <v>111</v>
      </c>
      <c r="B11" s="539"/>
      <c r="C11" s="539"/>
      <c r="D11" s="539"/>
      <c r="E11" s="539"/>
      <c r="F11" s="539"/>
      <c r="G11" s="539"/>
      <c r="H11" s="539"/>
    </row>
    <row r="12" spans="1:8" x14ac:dyDescent="0.25">
      <c r="A12" s="541" t="s">
        <v>110</v>
      </c>
      <c r="B12" s="539" t="s">
        <v>109</v>
      </c>
      <c r="C12" s="539" t="s">
        <v>55</v>
      </c>
      <c r="D12" s="539" t="s">
        <v>60</v>
      </c>
      <c r="E12" s="539" t="s">
        <v>61</v>
      </c>
      <c r="F12" s="539" t="s">
        <v>108</v>
      </c>
      <c r="G12" s="539" t="s">
        <v>107</v>
      </c>
      <c r="H12" s="539" t="s">
        <v>106</v>
      </c>
    </row>
    <row r="13" spans="1:8" x14ac:dyDescent="0.25">
      <c r="A13" s="539" t="s">
        <v>105</v>
      </c>
      <c r="B13" s="540">
        <v>120.75</v>
      </c>
      <c r="C13" s="542"/>
      <c r="D13" s="542"/>
      <c r="E13" s="542"/>
      <c r="F13" s="539" t="s">
        <v>120</v>
      </c>
      <c r="G13" s="539"/>
      <c r="H13" s="539"/>
    </row>
    <row r="14" spans="1:8" x14ac:dyDescent="0.25">
      <c r="A14" s="539" t="s">
        <v>104</v>
      </c>
      <c r="B14" s="540">
        <v>322</v>
      </c>
      <c r="C14" s="542"/>
      <c r="D14" s="542"/>
      <c r="E14" s="542"/>
      <c r="F14" s="539" t="s">
        <v>120</v>
      </c>
      <c r="G14" s="539"/>
      <c r="H14" s="539"/>
    </row>
    <row r="15" spans="1:8" x14ac:dyDescent="0.25">
      <c r="A15" s="539"/>
      <c r="B15" s="540"/>
      <c r="C15" s="542"/>
      <c r="D15" s="542"/>
      <c r="E15" s="542"/>
      <c r="F15" s="539"/>
      <c r="G15" s="539"/>
      <c r="H15" s="539"/>
    </row>
    <row r="16" spans="1:8" x14ac:dyDescent="0.25">
      <c r="A16" s="541" t="s">
        <v>26</v>
      </c>
      <c r="B16" s="540"/>
      <c r="C16" s="542"/>
      <c r="D16" s="542"/>
      <c r="E16" s="542"/>
      <c r="F16" s="539"/>
      <c r="G16" s="539"/>
      <c r="H16" s="539"/>
    </row>
    <row r="17" spans="1:8" x14ac:dyDescent="0.25">
      <c r="A17" s="539" t="s">
        <v>103</v>
      </c>
      <c r="B17" s="540">
        <v>85</v>
      </c>
      <c r="C17" s="542"/>
      <c r="D17" s="542"/>
      <c r="E17" s="542"/>
      <c r="F17" s="539" t="s">
        <v>97</v>
      </c>
      <c r="G17" s="539"/>
      <c r="H17" s="539"/>
    </row>
    <row r="18" spans="1:8" x14ac:dyDescent="0.25">
      <c r="A18" s="539" t="s">
        <v>102</v>
      </c>
      <c r="B18" s="540">
        <v>75</v>
      </c>
      <c r="C18" s="542"/>
      <c r="D18" s="542"/>
      <c r="E18" s="542"/>
      <c r="F18" s="539" t="s">
        <v>97</v>
      </c>
      <c r="G18" s="539"/>
      <c r="H18" s="539"/>
    </row>
    <row r="19" spans="1:8" x14ac:dyDescent="0.25">
      <c r="A19" s="539" t="s">
        <v>101</v>
      </c>
      <c r="B19" s="540">
        <v>80</v>
      </c>
      <c r="C19" s="542"/>
      <c r="D19" s="542"/>
      <c r="E19" s="542"/>
      <c r="F19" s="539" t="s">
        <v>97</v>
      </c>
      <c r="G19" s="539"/>
      <c r="H19" s="539"/>
    </row>
    <row r="20" spans="1:8" x14ac:dyDescent="0.25">
      <c r="A20" s="539" t="s">
        <v>100</v>
      </c>
      <c r="B20" s="540"/>
      <c r="C20" s="540">
        <v>110.5</v>
      </c>
      <c r="D20" s="540">
        <v>104</v>
      </c>
      <c r="E20" s="540">
        <v>97.5</v>
      </c>
      <c r="F20" s="539" t="s">
        <v>97</v>
      </c>
      <c r="G20" s="539"/>
      <c r="H20" s="539"/>
    </row>
    <row r="21" spans="1:8" x14ac:dyDescent="0.25">
      <c r="A21" s="539" t="s">
        <v>99</v>
      </c>
      <c r="B21" s="540">
        <v>150</v>
      </c>
      <c r="C21" s="542"/>
      <c r="D21" s="542"/>
      <c r="E21" s="542"/>
      <c r="F21" s="539" t="s">
        <v>97</v>
      </c>
      <c r="G21" s="539"/>
      <c r="H21" s="539"/>
    </row>
    <row r="22" spans="1:8" x14ac:dyDescent="0.25">
      <c r="A22" s="539" t="s">
        <v>98</v>
      </c>
      <c r="B22" s="540">
        <v>85</v>
      </c>
      <c r="C22" s="542"/>
      <c r="D22" s="542"/>
      <c r="E22" s="542"/>
      <c r="F22" s="539" t="s">
        <v>97</v>
      </c>
      <c r="G22" s="539"/>
      <c r="H22" s="539"/>
    </row>
    <row r="23" spans="1:8" x14ac:dyDescent="0.25">
      <c r="A23" s="539"/>
      <c r="B23" s="540"/>
      <c r="C23" s="542"/>
      <c r="D23" s="542"/>
      <c r="E23" s="542"/>
      <c r="F23" s="539"/>
      <c r="G23" s="539"/>
      <c r="H23" s="539"/>
    </row>
    <row r="24" spans="1:8" x14ac:dyDescent="0.25">
      <c r="A24" s="159" t="s">
        <v>96</v>
      </c>
      <c r="B24" s="538"/>
    </row>
    <row r="25" spans="1:8" x14ac:dyDescent="0.25">
      <c r="B25" s="538"/>
    </row>
    <row r="26" spans="1:8" x14ac:dyDescent="0.25">
      <c r="A26" s="159" t="s">
        <v>95</v>
      </c>
    </row>
    <row r="27" spans="1:8" x14ac:dyDescent="0.25">
      <c r="A27" s="159" t="s">
        <v>94</v>
      </c>
    </row>
    <row r="28" spans="1:8" x14ac:dyDescent="0.25">
      <c r="A28" s="159" t="s">
        <v>93</v>
      </c>
    </row>
    <row r="29" spans="1:8" x14ac:dyDescent="0.25">
      <c r="A29" s="159" t="s">
        <v>92</v>
      </c>
    </row>
    <row r="30" spans="1:8" x14ac:dyDescent="0.25">
      <c r="A30" s="159" t="s">
        <v>91</v>
      </c>
    </row>
    <row r="32" spans="1:8" x14ac:dyDescent="0.25">
      <c r="A32" s="159" t="s">
        <v>90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</sheetPr>
  <dimension ref="A1:BM73"/>
  <sheetViews>
    <sheetView workbookViewId="0">
      <selection activeCell="F36" sqref="F36"/>
    </sheetView>
  </sheetViews>
  <sheetFormatPr defaultColWidth="8.85546875" defaultRowHeight="15" x14ac:dyDescent="0.25"/>
  <cols>
    <col min="1" max="1" width="15.42578125" customWidth="1"/>
    <col min="2" max="2" width="18.28515625" customWidth="1"/>
    <col min="3" max="3" width="17.42578125" customWidth="1"/>
    <col min="4" max="4" width="14.42578125" bestFit="1" customWidth="1"/>
    <col min="5" max="5" width="18.85546875" customWidth="1"/>
    <col min="6" max="6" width="19.7109375" customWidth="1"/>
    <col min="7" max="7" width="14.42578125" bestFit="1" customWidth="1"/>
    <col min="8" max="8" width="14.140625" customWidth="1"/>
    <col min="9" max="9" width="17.42578125" customWidth="1"/>
    <col min="10" max="10" width="14.7109375" bestFit="1" customWidth="1"/>
    <col min="11" max="11" width="14.42578125" bestFit="1" customWidth="1"/>
    <col min="12" max="12" width="17.85546875" bestFit="1" customWidth="1"/>
    <col min="13" max="16" width="14.42578125" bestFit="1" customWidth="1"/>
    <col min="17" max="17" width="14.28515625" customWidth="1"/>
    <col min="18" max="18" width="12.28515625" bestFit="1" customWidth="1"/>
  </cols>
  <sheetData>
    <row r="1" spans="1:19" ht="31.5" x14ac:dyDescent="0.25">
      <c r="A1" s="159"/>
      <c r="B1" s="588" t="s">
        <v>79</v>
      </c>
      <c r="C1" s="588"/>
      <c r="D1" s="217"/>
      <c r="E1" s="218" t="s">
        <v>47</v>
      </c>
      <c r="F1" s="215"/>
      <c r="G1" s="159"/>
      <c r="H1" s="159"/>
      <c r="I1" s="159"/>
      <c r="J1" s="159"/>
      <c r="K1" s="159"/>
      <c r="L1" s="160"/>
      <c r="M1" s="160"/>
      <c r="N1" s="160"/>
      <c r="O1" s="160"/>
      <c r="P1" s="159"/>
      <c r="Q1" s="159"/>
      <c r="R1" s="159"/>
      <c r="S1" s="159"/>
    </row>
    <row r="2" spans="1:19" ht="47.25" thickBot="1" x14ac:dyDescent="0.4">
      <c r="A2" s="186" t="s">
        <v>80</v>
      </c>
      <c r="B2" s="161"/>
      <c r="C2" s="159"/>
      <c r="D2" s="162"/>
      <c r="E2" s="162"/>
      <c r="F2" s="159"/>
      <c r="G2" s="159"/>
      <c r="H2" s="159"/>
      <c r="I2" s="159"/>
      <c r="J2" s="159"/>
      <c r="K2" s="159"/>
      <c r="L2" s="163"/>
      <c r="M2" s="163"/>
      <c r="N2" s="163"/>
      <c r="O2" s="163"/>
      <c r="P2" s="159"/>
      <c r="Q2" s="159"/>
      <c r="R2" s="159"/>
      <c r="S2" s="159"/>
    </row>
    <row r="3" spans="1:19" ht="27.95" customHeight="1" thickBot="1" x14ac:dyDescent="0.4">
      <c r="A3" s="220"/>
      <c r="B3" s="159"/>
      <c r="C3" s="159"/>
      <c r="D3" s="159"/>
      <c r="E3" s="154" t="s">
        <v>0</v>
      </c>
      <c r="F3" s="1">
        <v>11</v>
      </c>
      <c r="G3" s="159"/>
      <c r="H3" s="159"/>
      <c r="I3" s="159"/>
      <c r="J3" s="550" t="s">
        <v>1</v>
      </c>
      <c r="K3" s="551"/>
      <c r="L3" s="551"/>
      <c r="M3" s="551"/>
      <c r="N3" s="551"/>
      <c r="O3" s="551"/>
      <c r="P3" s="551"/>
      <c r="Q3" s="551"/>
      <c r="R3" s="589"/>
      <c r="S3" s="159"/>
    </row>
    <row r="4" spans="1:19" ht="20.100000000000001" customHeight="1" thickBot="1" x14ac:dyDescent="0.35">
      <c r="A4" s="189"/>
      <c r="B4" s="171"/>
      <c r="C4" s="171"/>
      <c r="D4" s="171"/>
      <c r="E4" s="155" t="s">
        <v>2</v>
      </c>
      <c r="F4" s="5">
        <v>0</v>
      </c>
      <c r="G4" s="171"/>
      <c r="H4" s="214">
        <v>10</v>
      </c>
      <c r="I4" s="6" t="s">
        <v>3</v>
      </c>
      <c r="J4" s="590" t="s">
        <v>4</v>
      </c>
      <c r="K4" s="591"/>
      <c r="L4" s="591"/>
      <c r="M4" s="591"/>
      <c r="N4" s="592"/>
      <c r="O4" s="554" t="s">
        <v>5</v>
      </c>
      <c r="P4" s="555"/>
      <c r="Q4" s="555"/>
      <c r="R4" s="593"/>
      <c r="S4" s="159"/>
    </row>
    <row r="5" spans="1:19" x14ac:dyDescent="0.25">
      <c r="A5" s="164"/>
      <c r="B5" s="159"/>
      <c r="C5" s="159"/>
      <c r="D5" s="159"/>
      <c r="E5" s="159"/>
      <c r="F5" s="159"/>
      <c r="G5" s="159"/>
      <c r="H5" s="187"/>
      <c r="I5" s="188"/>
      <c r="J5" s="9"/>
      <c r="K5" s="503" t="s">
        <v>7</v>
      </c>
      <c r="L5" s="504" t="s">
        <v>8</v>
      </c>
      <c r="M5" s="11" t="s">
        <v>9</v>
      </c>
      <c r="N5" s="11" t="s">
        <v>10</v>
      </c>
      <c r="O5" s="500" t="s">
        <v>7</v>
      </c>
      <c r="P5" s="12" t="s">
        <v>8</v>
      </c>
      <c r="Q5" s="12" t="s">
        <v>11</v>
      </c>
      <c r="R5" s="156" t="s">
        <v>10</v>
      </c>
      <c r="S5" s="159"/>
    </row>
    <row r="6" spans="1:19" ht="15.75" thickBot="1" x14ac:dyDescent="0.3">
      <c r="A6" s="165"/>
      <c r="B6" s="159"/>
      <c r="C6" s="159"/>
      <c r="D6" s="159"/>
      <c r="E6" s="159"/>
      <c r="F6" s="159"/>
      <c r="G6" s="159"/>
      <c r="H6" s="159"/>
      <c r="I6" s="213"/>
      <c r="J6" s="9"/>
      <c r="K6" s="506" t="s">
        <v>44</v>
      </c>
      <c r="L6" s="19" t="s">
        <v>16</v>
      </c>
      <c r="M6" s="19" t="s">
        <v>16</v>
      </c>
      <c r="N6" s="19" t="s">
        <v>16</v>
      </c>
      <c r="O6" s="20" t="s">
        <v>17</v>
      </c>
      <c r="P6" s="20" t="s">
        <v>17</v>
      </c>
      <c r="Q6" s="156" t="s">
        <v>17</v>
      </c>
      <c r="R6" s="156" t="s">
        <v>17</v>
      </c>
      <c r="S6" s="159"/>
    </row>
    <row r="7" spans="1:19" ht="12" hidden="1" customHeight="1" x14ac:dyDescent="0.25">
      <c r="A7" s="165"/>
      <c r="B7" s="159"/>
      <c r="C7" s="159"/>
      <c r="D7" s="159"/>
      <c r="E7" s="159"/>
      <c r="F7" s="159"/>
      <c r="G7" s="159"/>
      <c r="H7" s="159"/>
      <c r="I7" s="213"/>
      <c r="J7" s="28" t="s">
        <v>20</v>
      </c>
      <c r="K7" s="505">
        <f>SUM(F53)*F3</f>
        <v>2090</v>
      </c>
      <c r="L7" s="30">
        <f>SUM((G53)*F3)/2</f>
        <v>1097.25</v>
      </c>
      <c r="M7" s="30">
        <f>SUM((H53)*F3)/3</f>
        <v>766.33333333333337</v>
      </c>
      <c r="N7" s="30">
        <f>SUM((I53)*F3)/4</f>
        <v>600.875</v>
      </c>
      <c r="O7" s="496">
        <f>SUM((F53)*F3)</f>
        <v>2090</v>
      </c>
      <c r="P7" s="31">
        <f>SUM((G53)*F3)/2</f>
        <v>1097.25</v>
      </c>
      <c r="Q7" s="495">
        <f>SUM((H53)*F3)/3</f>
        <v>766.33333333333337</v>
      </c>
      <c r="R7" s="31">
        <f>SUM((I53)*F3)/4</f>
        <v>600.875</v>
      </c>
      <c r="S7" s="159"/>
    </row>
    <row r="8" spans="1:19" hidden="1" x14ac:dyDescent="0.25">
      <c r="A8" s="165"/>
      <c r="B8" s="159"/>
      <c r="C8" s="159"/>
      <c r="D8" s="159"/>
      <c r="E8" s="159"/>
      <c r="F8" s="159"/>
      <c r="G8" s="159"/>
      <c r="H8" s="159"/>
      <c r="I8" s="213"/>
      <c r="J8" s="28"/>
      <c r="K8" s="507"/>
      <c r="L8" s="508"/>
      <c r="M8" s="38"/>
      <c r="N8" s="38"/>
      <c r="O8" s="497"/>
      <c r="P8" s="497"/>
      <c r="Q8" s="31"/>
      <c r="R8" s="31"/>
      <c r="S8" s="159"/>
    </row>
    <row r="9" spans="1:19" hidden="1" x14ac:dyDescent="0.25">
      <c r="A9" s="165"/>
      <c r="B9" s="159"/>
      <c r="C9" s="159"/>
      <c r="D9" s="159"/>
      <c r="E9" s="159"/>
      <c r="F9" s="159"/>
      <c r="G9" s="159"/>
      <c r="H9" s="159"/>
      <c r="I9" s="213"/>
      <c r="J9" s="28"/>
      <c r="K9" s="508"/>
      <c r="L9" s="38"/>
      <c r="M9" s="38"/>
      <c r="N9" s="38"/>
      <c r="O9" s="498" t="s">
        <v>25</v>
      </c>
      <c r="P9" s="498" t="s">
        <v>25</v>
      </c>
      <c r="Q9" s="31"/>
      <c r="R9" s="31"/>
      <c r="S9" s="159"/>
    </row>
    <row r="10" spans="1:19" hidden="1" x14ac:dyDescent="0.25">
      <c r="A10" s="165"/>
      <c r="B10" s="159"/>
      <c r="C10" s="159"/>
      <c r="D10" s="159"/>
      <c r="E10" s="159"/>
      <c r="F10" s="159"/>
      <c r="G10" s="159"/>
      <c r="H10" s="165"/>
      <c r="I10" s="172"/>
      <c r="J10" s="28"/>
      <c r="K10" s="507"/>
      <c r="L10" s="508"/>
      <c r="M10" s="38"/>
      <c r="N10" s="38"/>
      <c r="O10" s="497"/>
      <c r="P10" s="497"/>
      <c r="Q10" s="31"/>
      <c r="R10" s="31"/>
      <c r="S10" s="159"/>
    </row>
    <row r="11" spans="1:19" hidden="1" x14ac:dyDescent="0.25">
      <c r="A11" s="165"/>
      <c r="B11" s="159"/>
      <c r="C11" s="159"/>
      <c r="D11" s="159"/>
      <c r="E11" s="159"/>
      <c r="F11" s="159"/>
      <c r="G11" s="159"/>
      <c r="H11" s="165"/>
      <c r="I11" s="172"/>
      <c r="J11" s="28" t="s">
        <v>15</v>
      </c>
      <c r="K11" s="509">
        <f>SUM(G57*F4)</f>
        <v>0</v>
      </c>
      <c r="L11" s="505">
        <f>SUM(G57*F4)</f>
        <v>0</v>
      </c>
      <c r="M11" s="30">
        <f>SUM(G57*F4)</f>
        <v>0</v>
      </c>
      <c r="N11" s="30">
        <f>SUM(G57*F4)</f>
        <v>0</v>
      </c>
      <c r="O11" s="496">
        <v>0</v>
      </c>
      <c r="P11" s="496">
        <v>0</v>
      </c>
      <c r="Q11" s="31">
        <v>0</v>
      </c>
      <c r="R11" s="31">
        <v>0</v>
      </c>
      <c r="S11" s="159"/>
    </row>
    <row r="12" spans="1:19" hidden="1" x14ac:dyDescent="0.25">
      <c r="A12" s="165"/>
      <c r="B12" s="159"/>
      <c r="C12" s="159"/>
      <c r="D12" s="159"/>
      <c r="E12" s="159"/>
      <c r="F12" s="159"/>
      <c r="G12" s="159"/>
      <c r="H12" s="159"/>
      <c r="I12" s="169"/>
      <c r="J12" s="28"/>
      <c r="K12" s="509">
        <f>SUM(G58)</f>
        <v>0</v>
      </c>
      <c r="L12" s="505">
        <f>SUM(G58)</f>
        <v>0</v>
      </c>
      <c r="M12" s="30">
        <f>SUM(G58)</f>
        <v>0</v>
      </c>
      <c r="N12" s="30">
        <f>SUM(G58)</f>
        <v>0</v>
      </c>
      <c r="O12" s="496">
        <v>0</v>
      </c>
      <c r="P12" s="496">
        <v>0</v>
      </c>
      <c r="Q12" s="31">
        <v>0</v>
      </c>
      <c r="R12" s="31">
        <v>0</v>
      </c>
      <c r="S12" s="159"/>
    </row>
    <row r="13" spans="1:19" hidden="1" x14ac:dyDescent="0.25">
      <c r="A13" s="165"/>
      <c r="B13" s="159"/>
      <c r="C13" s="159"/>
      <c r="D13" s="159"/>
      <c r="E13" s="159"/>
      <c r="F13" s="159"/>
      <c r="G13" s="159"/>
      <c r="H13" s="215"/>
      <c r="I13" s="169"/>
      <c r="J13" s="28" t="s">
        <v>34</v>
      </c>
      <c r="K13" s="509">
        <f>SUM(G59)</f>
        <v>93</v>
      </c>
      <c r="L13" s="505">
        <f>SUM(G59)</f>
        <v>93</v>
      </c>
      <c r="M13" s="51">
        <f>SUM(G59)</f>
        <v>93</v>
      </c>
      <c r="N13" s="51">
        <f>SUM(G59)</f>
        <v>93</v>
      </c>
      <c r="O13" s="496">
        <f>SUM(G59)</f>
        <v>93</v>
      </c>
      <c r="P13" s="31">
        <f>SUM(K13)</f>
        <v>93</v>
      </c>
      <c r="Q13" s="32">
        <f>SUM(G59)</f>
        <v>93</v>
      </c>
      <c r="R13" s="32">
        <f>SUM(G59)</f>
        <v>93</v>
      </c>
      <c r="S13" s="159"/>
    </row>
    <row r="14" spans="1:19" hidden="1" x14ac:dyDescent="0.25">
      <c r="A14" s="165"/>
      <c r="B14" s="159"/>
      <c r="C14" s="159"/>
      <c r="D14" s="159"/>
      <c r="E14" s="159"/>
      <c r="F14" s="159"/>
      <c r="G14" s="159"/>
      <c r="H14" s="216"/>
      <c r="I14" s="169"/>
      <c r="J14" s="28" t="s">
        <v>37</v>
      </c>
      <c r="K14" s="509">
        <f>SUM(G60)*F3</f>
        <v>187</v>
      </c>
      <c r="L14" s="505">
        <f>SUM(G60)*F3</f>
        <v>187</v>
      </c>
      <c r="M14" s="30">
        <f>SUM(G60)*F3</f>
        <v>187</v>
      </c>
      <c r="N14" s="30">
        <f>SUM(G60)*F3</f>
        <v>187</v>
      </c>
      <c r="O14" s="496">
        <f>SUM(G60)*F3</f>
        <v>187</v>
      </c>
      <c r="P14" s="496">
        <f>SUM(G60)*F3</f>
        <v>187</v>
      </c>
      <c r="Q14" s="31">
        <f>SUM(G60)*F3</f>
        <v>187</v>
      </c>
      <c r="R14" s="31">
        <f>SUM(G60)*F3</f>
        <v>187</v>
      </c>
      <c r="S14" s="159"/>
    </row>
    <row r="15" spans="1:19" ht="15.75" hidden="1" thickBot="1" x14ac:dyDescent="0.3">
      <c r="A15" s="166"/>
      <c r="B15" s="166"/>
      <c r="C15" s="166"/>
      <c r="D15" s="166"/>
      <c r="E15" s="166"/>
      <c r="F15" s="166"/>
      <c r="G15" s="166"/>
      <c r="H15" s="215"/>
      <c r="I15" s="169"/>
      <c r="J15" s="28" t="s">
        <v>48</v>
      </c>
      <c r="K15" s="53">
        <f>SUM((K7)*0.25)+(K14*0.15)</f>
        <v>550.54999999999995</v>
      </c>
      <c r="L15" s="53">
        <f t="shared" ref="L15:R15" si="0">SUM((L7)*0.25)+(L14*0.15)</f>
        <v>302.36250000000001</v>
      </c>
      <c r="M15" s="53">
        <f t="shared" si="0"/>
        <v>219.63333333333335</v>
      </c>
      <c r="N15" s="53">
        <f t="shared" si="0"/>
        <v>178.26875000000001</v>
      </c>
      <c r="O15" s="501">
        <f t="shared" si="0"/>
        <v>550.54999999999995</v>
      </c>
      <c r="P15" s="331">
        <f t="shared" si="0"/>
        <v>302.36250000000001</v>
      </c>
      <c r="Q15" s="331">
        <f t="shared" si="0"/>
        <v>219.63333333333335</v>
      </c>
      <c r="R15" s="496">
        <f t="shared" si="0"/>
        <v>178.26875000000001</v>
      </c>
      <c r="S15" s="499"/>
    </row>
    <row r="16" spans="1:19" ht="18.75" x14ac:dyDescent="0.3">
      <c r="A16" s="166"/>
      <c r="B16" s="167"/>
      <c r="C16" s="166"/>
      <c r="D16" s="166"/>
      <c r="E16" s="166"/>
      <c r="F16" s="166"/>
      <c r="G16" s="166"/>
      <c r="H16" s="166"/>
      <c r="I16" s="169"/>
      <c r="J16" s="56" t="s">
        <v>39</v>
      </c>
      <c r="K16" s="268">
        <f t="shared" ref="K16:R16" si="1">SUM(K7:K15)</f>
        <v>2920.55</v>
      </c>
      <c r="L16" s="269">
        <f t="shared" si="1"/>
        <v>1679.6125</v>
      </c>
      <c r="M16" s="269">
        <f t="shared" si="1"/>
        <v>1265.9666666666669</v>
      </c>
      <c r="N16" s="269">
        <f t="shared" si="1"/>
        <v>1059.14375</v>
      </c>
      <c r="O16" s="502">
        <f t="shared" si="1"/>
        <v>2920.55</v>
      </c>
      <c r="P16" s="270">
        <f t="shared" si="1"/>
        <v>1679.6125</v>
      </c>
      <c r="Q16" s="270">
        <f t="shared" si="1"/>
        <v>1265.9666666666669</v>
      </c>
      <c r="R16" s="502">
        <f t="shared" si="1"/>
        <v>1059.14375</v>
      </c>
      <c r="S16" s="159"/>
    </row>
    <row r="17" spans="1:27" ht="15.75" thickBot="1" x14ac:dyDescent="0.3">
      <c r="A17" s="166"/>
      <c r="B17" s="166"/>
      <c r="C17" s="166"/>
      <c r="D17" s="166"/>
      <c r="E17" s="166"/>
      <c r="F17" s="166"/>
      <c r="G17" s="168"/>
      <c r="H17" s="166"/>
      <c r="I17" s="169"/>
      <c r="J17" s="57" t="s">
        <v>40</v>
      </c>
      <c r="K17" s="267">
        <f>SUM(K7+K11+K12)*H4/100</f>
        <v>209</v>
      </c>
      <c r="L17" s="58">
        <f>SUM(L7+L11+L12)*H4/100</f>
        <v>109.72499999999999</v>
      </c>
      <c r="M17" s="58">
        <f>SUM(M7+M11+M12)*H4/100</f>
        <v>76.63333333333334</v>
      </c>
      <c r="N17" s="58">
        <f>SUM(N7+N11+N12)*H4/100</f>
        <v>60.087499999999999</v>
      </c>
      <c r="O17" s="59">
        <f>SUM(O7+O11+O12)*H4/100</f>
        <v>209</v>
      </c>
      <c r="P17" s="510">
        <f>SUM(P7+P11+P12)*H4/100</f>
        <v>109.72499999999999</v>
      </c>
      <c r="Q17" s="60">
        <f>SUM(Q7+Q11+Q12)*H4/100</f>
        <v>76.63333333333334</v>
      </c>
      <c r="R17" s="61">
        <f>SUM(R7+R11+R12)*H4/100</f>
        <v>60.087499999999999</v>
      </c>
      <c r="S17" s="159"/>
    </row>
    <row r="18" spans="1:27" ht="15.75" thickBot="1" x14ac:dyDescent="0.3">
      <c r="A18" s="166"/>
      <c r="B18" s="166"/>
      <c r="C18" s="166"/>
      <c r="D18" s="166"/>
      <c r="E18" s="166"/>
      <c r="F18" s="166"/>
      <c r="G18" s="168"/>
      <c r="H18" s="166"/>
      <c r="I18" s="170"/>
      <c r="J18" s="157" t="s">
        <v>41</v>
      </c>
      <c r="K18" s="53">
        <f t="shared" ref="K18:R18" si="2">SUM(K16-K17)</f>
        <v>2711.55</v>
      </c>
      <c r="L18" s="54">
        <f t="shared" si="2"/>
        <v>1569.8875</v>
      </c>
      <c r="M18" s="54">
        <f t="shared" si="2"/>
        <v>1189.3333333333335</v>
      </c>
      <c r="N18" s="62">
        <f t="shared" si="2"/>
        <v>999.05624999999998</v>
      </c>
      <c r="O18" s="63">
        <f t="shared" si="2"/>
        <v>2711.55</v>
      </c>
      <c r="P18" s="511">
        <f t="shared" si="2"/>
        <v>1569.8875</v>
      </c>
      <c r="Q18" s="64">
        <f t="shared" si="2"/>
        <v>1189.3333333333335</v>
      </c>
      <c r="R18" s="65">
        <f t="shared" si="2"/>
        <v>999.05624999999998</v>
      </c>
      <c r="S18" s="159"/>
      <c r="AA18" s="66"/>
    </row>
    <row r="19" spans="1:27" ht="21.75" thickBot="1" x14ac:dyDescent="0.4">
      <c r="A19" s="556" t="s">
        <v>42</v>
      </c>
      <c r="B19" s="557"/>
      <c r="C19" s="557"/>
      <c r="D19" s="557"/>
      <c r="E19" s="557"/>
      <c r="F19" s="557"/>
      <c r="G19" s="557"/>
      <c r="H19" s="557"/>
      <c r="I19" s="558"/>
      <c r="J19" s="559" t="s">
        <v>43</v>
      </c>
      <c r="K19" s="560"/>
      <c r="L19" s="560"/>
      <c r="M19" s="560"/>
      <c r="N19" s="560"/>
      <c r="O19" s="594"/>
      <c r="P19" s="560"/>
      <c r="Q19" s="560"/>
      <c r="R19" s="560"/>
      <c r="S19" s="499"/>
    </row>
    <row r="20" spans="1:27" ht="19.5" thickBot="1" x14ac:dyDescent="0.35">
      <c r="A20" s="9"/>
      <c r="B20" s="597" t="s">
        <v>4</v>
      </c>
      <c r="C20" s="598"/>
      <c r="D20" s="598"/>
      <c r="E20" s="599"/>
      <c r="F20" s="600" t="s">
        <v>5</v>
      </c>
      <c r="G20" s="601"/>
      <c r="H20" s="601"/>
      <c r="I20" s="601"/>
      <c r="J20" s="9"/>
      <c r="K20" s="602" t="s">
        <v>4</v>
      </c>
      <c r="L20" s="603"/>
      <c r="M20" s="603"/>
      <c r="N20" s="604"/>
      <c r="O20" s="571" t="s">
        <v>5</v>
      </c>
      <c r="P20" s="605"/>
      <c r="Q20" s="605"/>
      <c r="R20" s="572"/>
      <c r="S20" s="159"/>
    </row>
    <row r="21" spans="1:27" x14ac:dyDescent="0.25">
      <c r="A21" s="67"/>
      <c r="B21" s="271" t="s">
        <v>7</v>
      </c>
      <c r="C21" s="272" t="s">
        <v>8</v>
      </c>
      <c r="D21" s="272" t="s">
        <v>9</v>
      </c>
      <c r="E21" s="272" t="s">
        <v>10</v>
      </c>
      <c r="F21" s="70" t="s">
        <v>7</v>
      </c>
      <c r="G21" s="71" t="s">
        <v>8</v>
      </c>
      <c r="H21" s="71" t="s">
        <v>9</v>
      </c>
      <c r="I21" s="71" t="s">
        <v>10</v>
      </c>
      <c r="J21" s="67"/>
      <c r="K21" s="72" t="s">
        <v>7</v>
      </c>
      <c r="L21" s="73" t="s">
        <v>8</v>
      </c>
      <c r="M21" s="74" t="s">
        <v>9</v>
      </c>
      <c r="N21" s="74" t="s">
        <v>10</v>
      </c>
      <c r="O21" s="75" t="s">
        <v>7</v>
      </c>
      <c r="P21" s="76" t="s">
        <v>8</v>
      </c>
      <c r="Q21" s="77"/>
      <c r="R21" s="77"/>
      <c r="S21" s="159"/>
    </row>
    <row r="22" spans="1:27" x14ac:dyDescent="0.25">
      <c r="A22" s="67"/>
      <c r="B22" s="68" t="s">
        <v>44</v>
      </c>
      <c r="C22" s="78" t="s">
        <v>16</v>
      </c>
      <c r="D22" s="78" t="s">
        <v>16</v>
      </c>
      <c r="E22" s="78" t="s">
        <v>16</v>
      </c>
      <c r="F22" s="79" t="s">
        <v>17</v>
      </c>
      <c r="G22" s="80" t="s">
        <v>17</v>
      </c>
      <c r="H22" s="80" t="s">
        <v>17</v>
      </c>
      <c r="I22" s="80" t="s">
        <v>17</v>
      </c>
      <c r="J22" s="81"/>
      <c r="K22" s="82" t="s">
        <v>44</v>
      </c>
      <c r="L22" s="83" t="s">
        <v>16</v>
      </c>
      <c r="M22" s="83" t="s">
        <v>16</v>
      </c>
      <c r="N22" s="82" t="s">
        <v>16</v>
      </c>
      <c r="O22" s="84" t="s">
        <v>17</v>
      </c>
      <c r="P22" s="85" t="s">
        <v>17</v>
      </c>
      <c r="Q22" s="86"/>
      <c r="R22" s="86"/>
      <c r="S22" s="159"/>
    </row>
    <row r="23" spans="1:27" hidden="1" x14ac:dyDescent="0.25">
      <c r="A23" s="28" t="s">
        <v>20</v>
      </c>
      <c r="B23" s="87">
        <f>SUM(F54*F3)</f>
        <v>2612.5</v>
      </c>
      <c r="C23" s="88">
        <f>SUM((G54)*F3)/2</f>
        <v>1358.5</v>
      </c>
      <c r="D23" s="88">
        <f>SUM((H54)*F3)/3</f>
        <v>940.5</v>
      </c>
      <c r="E23" s="88">
        <f>SUM((I54)*F3)/4</f>
        <v>731.5</v>
      </c>
      <c r="F23" s="89">
        <f>SUM((F54)*F3)</f>
        <v>2612.5</v>
      </c>
      <c r="G23" s="90">
        <f>SUM((G54)*F3)/2</f>
        <v>1358.5</v>
      </c>
      <c r="H23" s="90">
        <f>SUM((H54)*F3)/3</f>
        <v>940.5</v>
      </c>
      <c r="I23" s="90">
        <f>SUM((I54)*F3)/4</f>
        <v>731.5</v>
      </c>
      <c r="J23" s="28" t="s">
        <v>20</v>
      </c>
      <c r="K23" s="91">
        <f>SUM((F55)*F3)</f>
        <v>2873.75</v>
      </c>
      <c r="L23" s="92">
        <f>SUM((G55)*F3)/2</f>
        <v>1489.125</v>
      </c>
      <c r="M23" s="92">
        <f>SUM((H55)*F3)/3</f>
        <v>1027.5833333333333</v>
      </c>
      <c r="N23" s="91">
        <f>SUM((I55)*F3)/4</f>
        <v>796.8125</v>
      </c>
      <c r="O23" s="93">
        <f>SUM(F55*F3)</f>
        <v>2873.75</v>
      </c>
      <c r="P23" s="94">
        <f>SUM((G55)*F3)/2</f>
        <v>1489.125</v>
      </c>
      <c r="Q23" s="95">
        <f>SUM((H55)*F3)/3</f>
        <v>1027.5833333333333</v>
      </c>
      <c r="R23" s="96">
        <f>SUM((I55)*F3)/4</f>
        <v>796.8125</v>
      </c>
      <c r="S23" s="499"/>
    </row>
    <row r="24" spans="1:27" hidden="1" x14ac:dyDescent="0.25">
      <c r="A24" s="28"/>
      <c r="B24" s="97"/>
      <c r="C24" s="98"/>
      <c r="D24" s="98"/>
      <c r="E24" s="98"/>
      <c r="F24" s="99"/>
      <c r="G24" s="100"/>
      <c r="H24" s="100"/>
      <c r="I24" s="100"/>
      <c r="J24" s="28"/>
      <c r="K24" s="101"/>
      <c r="L24" s="102"/>
      <c r="M24" s="102"/>
      <c r="N24" s="101"/>
      <c r="O24" s="103"/>
      <c r="P24" s="104"/>
      <c r="Q24" s="95"/>
      <c r="R24" s="95"/>
      <c r="S24" s="159"/>
    </row>
    <row r="25" spans="1:27" hidden="1" x14ac:dyDescent="0.25">
      <c r="A25" s="28"/>
      <c r="B25" s="68"/>
      <c r="C25" s="98"/>
      <c r="D25" s="98"/>
      <c r="E25" s="98"/>
      <c r="F25" s="105"/>
      <c r="G25" s="106"/>
      <c r="H25" s="106"/>
      <c r="I25" s="106"/>
      <c r="J25" s="28"/>
      <c r="K25" s="107"/>
      <c r="L25" s="108"/>
      <c r="M25" s="108"/>
      <c r="N25" s="107"/>
      <c r="O25" s="109"/>
      <c r="P25" s="110"/>
      <c r="Q25" s="95"/>
      <c r="R25" s="96"/>
      <c r="S25" s="499"/>
    </row>
    <row r="26" spans="1:27" hidden="1" x14ac:dyDescent="0.25">
      <c r="A26" s="28"/>
      <c r="B26" s="97"/>
      <c r="C26" s="98"/>
      <c r="D26" s="98"/>
      <c r="E26" s="98"/>
      <c r="F26" s="99"/>
      <c r="G26" s="100"/>
      <c r="H26" s="100"/>
      <c r="I26" s="100"/>
      <c r="J26" s="28"/>
      <c r="K26" s="101"/>
      <c r="L26" s="102"/>
      <c r="M26" s="102"/>
      <c r="N26" s="101"/>
      <c r="O26" s="103"/>
      <c r="P26" s="104"/>
      <c r="Q26" s="95"/>
      <c r="R26" s="96"/>
      <c r="S26" s="499"/>
    </row>
    <row r="27" spans="1:27" hidden="1" x14ac:dyDescent="0.25">
      <c r="A27" s="28" t="s">
        <v>15</v>
      </c>
      <c r="B27" s="87">
        <f>SUM(G57*F4)</f>
        <v>0</v>
      </c>
      <c r="C27" s="88">
        <f>SUM(G57*F4)</f>
        <v>0</v>
      </c>
      <c r="D27" s="88">
        <f>SUM(G57*F4)</f>
        <v>0</v>
      </c>
      <c r="E27" s="88">
        <f>SUM(G57*F4)</f>
        <v>0</v>
      </c>
      <c r="F27" s="89">
        <v>0</v>
      </c>
      <c r="G27" s="90">
        <v>0</v>
      </c>
      <c r="H27" s="90">
        <v>0</v>
      </c>
      <c r="I27" s="90">
        <v>0</v>
      </c>
      <c r="J27" s="28" t="s">
        <v>15</v>
      </c>
      <c r="K27" s="91">
        <f>SUM(G57*F4)</f>
        <v>0</v>
      </c>
      <c r="L27" s="92">
        <f>SUM(G57*F4)</f>
        <v>0</v>
      </c>
      <c r="M27" s="92">
        <f>SUM(G57*F4)</f>
        <v>0</v>
      </c>
      <c r="N27" s="91">
        <f>SUM(G57*F4)</f>
        <v>0</v>
      </c>
      <c r="O27" s="93">
        <v>0</v>
      </c>
      <c r="P27" s="94">
        <v>0</v>
      </c>
      <c r="Q27" s="94">
        <v>0</v>
      </c>
      <c r="R27" s="94">
        <v>0</v>
      </c>
      <c r="S27" s="159"/>
    </row>
    <row r="28" spans="1:27" hidden="1" x14ac:dyDescent="0.25">
      <c r="A28" s="28"/>
      <c r="B28" s="87">
        <f>SUM(G58)</f>
        <v>0</v>
      </c>
      <c r="C28" s="88">
        <f>SUM(G58)</f>
        <v>0</v>
      </c>
      <c r="D28" s="88">
        <f>SUM(G58)</f>
        <v>0</v>
      </c>
      <c r="E28" s="88">
        <f>SUM(G58)</f>
        <v>0</v>
      </c>
      <c r="F28" s="89">
        <v>0</v>
      </c>
      <c r="G28" s="90">
        <v>0</v>
      </c>
      <c r="H28" s="90">
        <v>0</v>
      </c>
      <c r="I28" s="90">
        <v>0</v>
      </c>
      <c r="J28" s="28"/>
      <c r="K28" s="91">
        <f>SUM(G58)</f>
        <v>0</v>
      </c>
      <c r="L28" s="92">
        <f>SUM(G58)</f>
        <v>0</v>
      </c>
      <c r="M28" s="92">
        <f>SUM(G58)</f>
        <v>0</v>
      </c>
      <c r="N28" s="91">
        <f>SUM(G58)</f>
        <v>0</v>
      </c>
      <c r="O28" s="93">
        <v>0</v>
      </c>
      <c r="P28" s="94">
        <v>0</v>
      </c>
      <c r="Q28" s="94">
        <v>0</v>
      </c>
      <c r="R28" s="94">
        <v>0</v>
      </c>
      <c r="S28" s="159"/>
    </row>
    <row r="29" spans="1:27" hidden="1" x14ac:dyDescent="0.25">
      <c r="A29" s="28" t="s">
        <v>34</v>
      </c>
      <c r="B29" s="87">
        <f>SUM(G59)</f>
        <v>93</v>
      </c>
      <c r="C29" s="88">
        <f>SUM(G59)</f>
        <v>93</v>
      </c>
      <c r="D29" s="111">
        <f>SUM(G59)</f>
        <v>93</v>
      </c>
      <c r="E29" s="111">
        <f>SUM(G59)</f>
        <v>93</v>
      </c>
      <c r="F29" s="89">
        <f>SUM(G59)</f>
        <v>93</v>
      </c>
      <c r="G29" s="90">
        <f>SUM(B29)</f>
        <v>93</v>
      </c>
      <c r="H29" s="90">
        <f>SUM(C29)</f>
        <v>93</v>
      </c>
      <c r="I29" s="90">
        <f>SUM(D29)</f>
        <v>93</v>
      </c>
      <c r="J29" s="28" t="s">
        <v>34</v>
      </c>
      <c r="K29" s="91">
        <f>SUM(G59)</f>
        <v>93</v>
      </c>
      <c r="L29" s="92">
        <f>SUM(G59)</f>
        <v>93</v>
      </c>
      <c r="M29" s="112">
        <f>SUM(G59)</f>
        <v>93</v>
      </c>
      <c r="N29" s="113">
        <f>SUM(G59)</f>
        <v>93</v>
      </c>
      <c r="O29" s="93">
        <f>SUM(G59)</f>
        <v>93</v>
      </c>
      <c r="P29" s="94">
        <f>SUM(G59)</f>
        <v>93</v>
      </c>
      <c r="Q29" s="114">
        <f>SUM(G59)</f>
        <v>93</v>
      </c>
      <c r="R29" s="115">
        <f>SUM(G59)</f>
        <v>93</v>
      </c>
      <c r="S29" s="499"/>
    </row>
    <row r="30" spans="1:27" hidden="1" x14ac:dyDescent="0.25">
      <c r="A30" s="28" t="s">
        <v>37</v>
      </c>
      <c r="B30" s="87">
        <f>SUM(G60)*F3</f>
        <v>187</v>
      </c>
      <c r="C30" s="88">
        <f>SUM(G60)*F3</f>
        <v>187</v>
      </c>
      <c r="D30" s="88">
        <f>SUM(G60)*F3</f>
        <v>187</v>
      </c>
      <c r="E30" s="88">
        <f>SUM(G60)*F3</f>
        <v>187</v>
      </c>
      <c r="F30" s="89">
        <f>SUM(G60)*F3</f>
        <v>187</v>
      </c>
      <c r="G30" s="90">
        <f>SUM(G60)*F3</f>
        <v>187</v>
      </c>
      <c r="H30" s="90">
        <f>SUM(G60)*F3</f>
        <v>187</v>
      </c>
      <c r="I30" s="90">
        <f>SUM(G60)*F3</f>
        <v>187</v>
      </c>
      <c r="J30" s="28" t="s">
        <v>37</v>
      </c>
      <c r="K30" s="91">
        <f>SUM(G60)*F3</f>
        <v>187</v>
      </c>
      <c r="L30" s="92">
        <f>SUM(G60)*F3</f>
        <v>187</v>
      </c>
      <c r="M30" s="92">
        <f>SUM(G60)*F3</f>
        <v>187</v>
      </c>
      <c r="N30" s="91">
        <f>SUM(G60)*F3</f>
        <v>187</v>
      </c>
      <c r="O30" s="116">
        <f>SUM(G60)*F3</f>
        <v>187</v>
      </c>
      <c r="P30" s="94">
        <f>SUM(G60)*F3</f>
        <v>187</v>
      </c>
      <c r="Q30" s="95">
        <f>SUM(G60)*F3</f>
        <v>187</v>
      </c>
      <c r="R30" s="96">
        <f>SUM(G60)*F3</f>
        <v>187</v>
      </c>
      <c r="S30" s="499"/>
    </row>
    <row r="31" spans="1:27" hidden="1" x14ac:dyDescent="0.25">
      <c r="A31" s="28" t="s">
        <v>49</v>
      </c>
      <c r="B31" s="117">
        <f>SUM((B23)*0.25)+(B30*0.15)</f>
        <v>681.17499999999995</v>
      </c>
      <c r="C31" s="117">
        <f t="shared" ref="C31:I31" si="3">SUM((C23)*0.25)+(C30*0.15)</f>
        <v>367.67500000000001</v>
      </c>
      <c r="D31" s="117">
        <f t="shared" si="3"/>
        <v>263.17500000000001</v>
      </c>
      <c r="E31" s="117">
        <f t="shared" si="3"/>
        <v>210.92500000000001</v>
      </c>
      <c r="F31" s="118">
        <f t="shared" si="3"/>
        <v>681.17499999999995</v>
      </c>
      <c r="G31" s="118">
        <f t="shared" si="3"/>
        <v>367.67500000000001</v>
      </c>
      <c r="H31" s="118">
        <f t="shared" si="3"/>
        <v>263.17500000000001</v>
      </c>
      <c r="I31" s="118">
        <f t="shared" si="3"/>
        <v>210.92500000000001</v>
      </c>
      <c r="J31" s="28" t="s">
        <v>49</v>
      </c>
      <c r="K31" s="91">
        <f>SUM((K23)*0.25)+(K30*0.15)</f>
        <v>746.48749999999995</v>
      </c>
      <c r="L31" s="91">
        <f t="shared" ref="L31:R31" si="4">SUM((L23)*0.25)+(L30*0.15)</f>
        <v>400.33125000000001</v>
      </c>
      <c r="M31" s="91">
        <f t="shared" si="4"/>
        <v>284.94583333333333</v>
      </c>
      <c r="N31" s="91">
        <f t="shared" si="4"/>
        <v>227.25312500000001</v>
      </c>
      <c r="O31" s="95">
        <f t="shared" si="4"/>
        <v>746.48749999999995</v>
      </c>
      <c r="P31" s="95">
        <f t="shared" si="4"/>
        <v>400.33125000000001</v>
      </c>
      <c r="Q31" s="95">
        <f t="shared" si="4"/>
        <v>284.94583333333333</v>
      </c>
      <c r="R31" s="95">
        <f t="shared" si="4"/>
        <v>227.25312500000001</v>
      </c>
      <c r="S31" s="159"/>
    </row>
    <row r="32" spans="1:27" ht="18.75" x14ac:dyDescent="0.3">
      <c r="A32" s="120" t="s">
        <v>39</v>
      </c>
      <c r="B32" s="273">
        <f t="shared" ref="B32:I32" si="5">SUM(B23:B31)</f>
        <v>3573.6750000000002</v>
      </c>
      <c r="C32" s="274">
        <f t="shared" si="5"/>
        <v>2006.175</v>
      </c>
      <c r="D32" s="274">
        <f t="shared" si="5"/>
        <v>1483.675</v>
      </c>
      <c r="E32" s="274">
        <f t="shared" si="5"/>
        <v>1222.425</v>
      </c>
      <c r="F32" s="275">
        <f t="shared" si="5"/>
        <v>3573.6750000000002</v>
      </c>
      <c r="G32" s="275">
        <f t="shared" si="5"/>
        <v>2006.175</v>
      </c>
      <c r="H32" s="275">
        <f t="shared" si="5"/>
        <v>1483.675</v>
      </c>
      <c r="I32" s="275">
        <f t="shared" si="5"/>
        <v>1222.425</v>
      </c>
      <c r="J32" s="281" t="s">
        <v>39</v>
      </c>
      <c r="K32" s="282">
        <f t="shared" ref="K32:R32" si="6">SUM(K23:K31)</f>
        <v>3900.2375000000002</v>
      </c>
      <c r="L32" s="282">
        <f t="shared" si="6"/>
        <v>2169.4562500000002</v>
      </c>
      <c r="M32" s="282">
        <f t="shared" si="6"/>
        <v>1592.5291666666667</v>
      </c>
      <c r="N32" s="282">
        <f t="shared" si="6"/>
        <v>1304.065625</v>
      </c>
      <c r="O32" s="283">
        <f t="shared" si="6"/>
        <v>3900.2375000000002</v>
      </c>
      <c r="P32" s="283">
        <f t="shared" si="6"/>
        <v>2169.4562500000002</v>
      </c>
      <c r="Q32" s="283">
        <f t="shared" si="6"/>
        <v>1592.5291666666667</v>
      </c>
      <c r="R32" s="283">
        <f t="shared" si="6"/>
        <v>1304.065625</v>
      </c>
      <c r="S32" s="159"/>
    </row>
    <row r="33" spans="1:19" x14ac:dyDescent="0.25">
      <c r="A33" s="124" t="s">
        <v>40</v>
      </c>
      <c r="B33" s="276">
        <f>SUM(B23+B27+B28)*H4/100</f>
        <v>261.25</v>
      </c>
      <c r="C33" s="277">
        <f>SUM(C23+C27+C28)*H4/100</f>
        <v>135.85</v>
      </c>
      <c r="D33" s="277">
        <f>SUM(D23+D27+D28)*H4/100</f>
        <v>94.05</v>
      </c>
      <c r="E33" s="277">
        <f>SUM(E23+E27+E28)*H4/100</f>
        <v>73.150000000000006</v>
      </c>
      <c r="F33" s="278">
        <f>SUM(F23+F27+F28)*H4/100</f>
        <v>261.25</v>
      </c>
      <c r="G33" s="278">
        <f>SUM(G23+G27+G28)*H4/100</f>
        <v>135.85</v>
      </c>
      <c r="H33" s="278">
        <f>SUM(H23+H27+H28)*H4/100</f>
        <v>94.05</v>
      </c>
      <c r="I33" s="278">
        <f>SUM(I23+I27+I28)*H4/100</f>
        <v>73.150000000000006</v>
      </c>
      <c r="J33" s="284" t="s">
        <v>40</v>
      </c>
      <c r="K33" s="285">
        <f>SUM(K23+K27+K28)*H4/100</f>
        <v>287.375</v>
      </c>
      <c r="L33" s="285">
        <f>SUM(L23+L27+L28)*H4/100</f>
        <v>148.91249999999999</v>
      </c>
      <c r="M33" s="285">
        <f>SUM(M23+M27+M28)*H4/100</f>
        <v>102.75833333333333</v>
      </c>
      <c r="N33" s="285">
        <f>SUM(N23+N27+N28)*H4/100</f>
        <v>79.681250000000006</v>
      </c>
      <c r="O33" s="286">
        <f>SUM(O23+O27+O28)*H4/100</f>
        <v>287.375</v>
      </c>
      <c r="P33" s="286">
        <f>SUM(P23+P27+P28)*H4/100</f>
        <v>148.91249999999999</v>
      </c>
      <c r="Q33" s="286">
        <f>SUM(Q23+Q27+Q28)*H4/100</f>
        <v>102.75833333333333</v>
      </c>
      <c r="R33" s="286">
        <f>SUM(R23+R27+R28)*H4/100</f>
        <v>79.681250000000006</v>
      </c>
      <c r="S33" s="159"/>
    </row>
    <row r="34" spans="1:19" x14ac:dyDescent="0.25">
      <c r="A34" s="120" t="s">
        <v>41</v>
      </c>
      <c r="B34" s="279">
        <f t="shared" ref="B34:I34" si="7">SUM(B32-B33)</f>
        <v>3312.4250000000002</v>
      </c>
      <c r="C34" s="280">
        <f t="shared" si="7"/>
        <v>1870.325</v>
      </c>
      <c r="D34" s="280">
        <f t="shared" si="7"/>
        <v>1389.625</v>
      </c>
      <c r="E34" s="280">
        <f t="shared" si="7"/>
        <v>1149.2749999999999</v>
      </c>
      <c r="F34" s="278">
        <f t="shared" si="7"/>
        <v>3312.4250000000002</v>
      </c>
      <c r="G34" s="278">
        <f t="shared" si="7"/>
        <v>1870.325</v>
      </c>
      <c r="H34" s="278">
        <f t="shared" si="7"/>
        <v>1389.625</v>
      </c>
      <c r="I34" s="278">
        <f t="shared" si="7"/>
        <v>1149.2749999999999</v>
      </c>
      <c r="J34" s="284" t="s">
        <v>41</v>
      </c>
      <c r="K34" s="287">
        <f t="shared" ref="K34:R34" si="8">SUM(K32-K33)</f>
        <v>3612.8625000000002</v>
      </c>
      <c r="L34" s="287">
        <f t="shared" si="8"/>
        <v>2020.5437500000003</v>
      </c>
      <c r="M34" s="287">
        <f t="shared" si="8"/>
        <v>1489.7708333333335</v>
      </c>
      <c r="N34" s="287">
        <f t="shared" si="8"/>
        <v>1224.3843749999999</v>
      </c>
      <c r="O34" s="286">
        <f t="shared" si="8"/>
        <v>3612.8625000000002</v>
      </c>
      <c r="P34" s="286">
        <f t="shared" si="8"/>
        <v>2020.5437500000003</v>
      </c>
      <c r="Q34" s="286">
        <f t="shared" si="8"/>
        <v>1489.7708333333335</v>
      </c>
      <c r="R34" s="286">
        <f t="shared" si="8"/>
        <v>1224.3843749999999</v>
      </c>
      <c r="S34" s="159"/>
    </row>
    <row r="35" spans="1:19" ht="21.75" thickBot="1" x14ac:dyDescent="0.4">
      <c r="A35" s="166"/>
      <c r="B35" s="166"/>
      <c r="C35" s="166"/>
      <c r="D35" s="166"/>
      <c r="E35" s="166"/>
      <c r="F35" s="166"/>
      <c r="G35" s="166"/>
      <c r="H35" s="166"/>
      <c r="I35" s="166"/>
      <c r="J35" s="606" t="s">
        <v>45</v>
      </c>
      <c r="K35" s="607"/>
      <c r="L35" s="607"/>
      <c r="M35" s="607"/>
      <c r="N35" s="607"/>
      <c r="O35" s="607"/>
      <c r="P35" s="607"/>
      <c r="Q35" s="607"/>
      <c r="R35" s="608"/>
      <c r="S35" s="159"/>
    </row>
    <row r="36" spans="1:19" ht="19.5" thickBot="1" x14ac:dyDescent="0.35">
      <c r="A36" s="166"/>
      <c r="B36" s="166"/>
      <c r="C36" s="166"/>
      <c r="D36" s="166"/>
      <c r="E36" s="166"/>
      <c r="F36" s="166"/>
      <c r="G36" s="166"/>
      <c r="H36" s="166"/>
      <c r="I36" s="166"/>
      <c r="J36" s="128"/>
      <c r="K36" s="543" t="s">
        <v>4</v>
      </c>
      <c r="L36" s="595"/>
      <c r="M36" s="595"/>
      <c r="N36" s="544"/>
      <c r="O36" s="545" t="s">
        <v>5</v>
      </c>
      <c r="P36" s="546"/>
      <c r="Q36" s="546"/>
      <c r="R36" s="596"/>
      <c r="S36" s="159"/>
    </row>
    <row r="37" spans="1:19" x14ac:dyDescent="0.25">
      <c r="A37" s="166"/>
      <c r="B37" s="166"/>
      <c r="C37" s="166"/>
      <c r="D37" s="166"/>
      <c r="E37" s="166"/>
      <c r="F37" s="166"/>
      <c r="G37" s="166"/>
      <c r="H37" s="166"/>
      <c r="I37" s="166"/>
      <c r="J37" s="129"/>
      <c r="K37" s="130" t="s">
        <v>7</v>
      </c>
      <c r="L37" s="131" t="s">
        <v>8</v>
      </c>
      <c r="M37" s="131" t="s">
        <v>9</v>
      </c>
      <c r="N37" s="131" t="s">
        <v>10</v>
      </c>
      <c r="O37" s="132" t="s">
        <v>7</v>
      </c>
      <c r="P37" s="133" t="s">
        <v>8</v>
      </c>
      <c r="Q37" s="133" t="s">
        <v>9</v>
      </c>
      <c r="R37" s="133" t="s">
        <v>10</v>
      </c>
      <c r="S37" s="159"/>
    </row>
    <row r="38" spans="1:19" x14ac:dyDescent="0.25">
      <c r="A38" s="166"/>
      <c r="B38" s="166"/>
      <c r="C38" s="166"/>
      <c r="D38" s="166"/>
      <c r="E38" s="166"/>
      <c r="F38" s="166"/>
      <c r="G38" s="166"/>
      <c r="H38" s="166"/>
      <c r="I38" s="166"/>
      <c r="J38" s="134"/>
      <c r="K38" s="135" t="s">
        <v>15</v>
      </c>
      <c r="L38" s="136" t="s">
        <v>16</v>
      </c>
      <c r="M38" s="136" t="s">
        <v>16</v>
      </c>
      <c r="N38" s="136" t="s">
        <v>16</v>
      </c>
      <c r="O38" s="137" t="s">
        <v>17</v>
      </c>
      <c r="P38" s="138" t="s">
        <v>17</v>
      </c>
      <c r="Q38" s="138" t="s">
        <v>17</v>
      </c>
      <c r="R38" s="138" t="s">
        <v>17</v>
      </c>
      <c r="S38" s="159"/>
    </row>
    <row r="39" spans="1:19" hidden="1" x14ac:dyDescent="0.25">
      <c r="A39" s="166"/>
      <c r="B39" s="166"/>
      <c r="C39" s="166"/>
      <c r="D39" s="166"/>
      <c r="E39" s="166"/>
      <c r="F39" s="166"/>
      <c r="G39" s="166"/>
      <c r="H39" s="166"/>
      <c r="I39" s="166"/>
      <c r="J39" s="139" t="s">
        <v>20</v>
      </c>
      <c r="K39" s="140">
        <f>SUM((F56)*F3)</f>
        <v>3135</v>
      </c>
      <c r="L39" s="141">
        <f>SUM((G56)*F3)/2</f>
        <v>1619.75</v>
      </c>
      <c r="M39" s="141">
        <f>SUM((H56)*F3)/3</f>
        <v>1114.6666666666667</v>
      </c>
      <c r="N39" s="141">
        <f>SUM((I56)*F3)/4</f>
        <v>862.125</v>
      </c>
      <c r="O39" s="142">
        <f>SUM((F56)*F3)</f>
        <v>3135</v>
      </c>
      <c r="P39" s="143">
        <f>SUM((G56)*F3)/2</f>
        <v>1619.75</v>
      </c>
      <c r="Q39" s="143">
        <f>SUM((H56)*F3)/3</f>
        <v>1114.6666666666667</v>
      </c>
      <c r="R39" s="143">
        <f>SUM((I56)*F3)/4</f>
        <v>862.125</v>
      </c>
      <c r="S39" s="159"/>
    </row>
    <row r="40" spans="1:19" hidden="1" x14ac:dyDescent="0.25">
      <c r="A40" s="166"/>
      <c r="B40" s="166"/>
      <c r="C40" s="166"/>
      <c r="D40" s="166"/>
      <c r="E40" s="166"/>
      <c r="F40" s="166"/>
      <c r="G40" s="166"/>
      <c r="H40" s="166"/>
      <c r="I40" s="166"/>
      <c r="J40" s="139"/>
      <c r="K40" s="144"/>
      <c r="L40" s="145"/>
      <c r="M40" s="145"/>
      <c r="N40" s="145"/>
      <c r="O40" s="146"/>
      <c r="P40" s="147"/>
      <c r="Q40" s="147"/>
      <c r="R40" s="147"/>
      <c r="S40" s="159"/>
    </row>
    <row r="41" spans="1:19" hidden="1" x14ac:dyDescent="0.25">
      <c r="A41" s="166"/>
      <c r="B41" s="166"/>
      <c r="C41" s="166"/>
      <c r="D41" s="166"/>
      <c r="E41" s="166"/>
      <c r="F41" s="166"/>
      <c r="G41" s="166"/>
      <c r="H41" s="166"/>
      <c r="I41" s="166"/>
      <c r="J41" s="139"/>
      <c r="K41" s="144"/>
      <c r="L41" s="148"/>
      <c r="M41" s="148"/>
      <c r="N41" s="148"/>
      <c r="O41" s="146"/>
      <c r="P41" s="149"/>
      <c r="Q41" s="149"/>
      <c r="R41" s="149"/>
      <c r="S41" s="159"/>
    </row>
    <row r="42" spans="1:19" hidden="1" x14ac:dyDescent="0.25">
      <c r="A42" s="166"/>
      <c r="B42" s="166"/>
      <c r="C42" s="166"/>
      <c r="D42" s="166"/>
      <c r="E42" s="166"/>
      <c r="F42" s="166"/>
      <c r="G42" s="166"/>
      <c r="H42" s="166"/>
      <c r="I42" s="166"/>
      <c r="J42" s="139"/>
      <c r="K42" s="144"/>
      <c r="L42" s="145"/>
      <c r="M42" s="145"/>
      <c r="N42" s="145"/>
      <c r="O42" s="146"/>
      <c r="P42" s="147"/>
      <c r="Q42" s="147"/>
      <c r="R42" s="147"/>
      <c r="S42" s="159"/>
    </row>
    <row r="43" spans="1:19" hidden="1" x14ac:dyDescent="0.25">
      <c r="A43" s="166"/>
      <c r="B43" s="166"/>
      <c r="C43" s="166"/>
      <c r="D43" s="166"/>
      <c r="E43" s="166"/>
      <c r="F43" s="166"/>
      <c r="G43" s="166"/>
      <c r="H43" s="166"/>
      <c r="I43" s="166"/>
      <c r="J43" s="139" t="s">
        <v>15</v>
      </c>
      <c r="K43" s="140">
        <f>SUM(G57*F4)</f>
        <v>0</v>
      </c>
      <c r="L43" s="141">
        <f>SUM(G57*F4)</f>
        <v>0</v>
      </c>
      <c r="M43" s="141">
        <f>SUM(G57*F4)</f>
        <v>0</v>
      </c>
      <c r="N43" s="141">
        <f>SUM(G57*F4)</f>
        <v>0</v>
      </c>
      <c r="O43" s="142">
        <v>0</v>
      </c>
      <c r="P43" s="143">
        <v>0</v>
      </c>
      <c r="Q43" s="143">
        <v>0</v>
      </c>
      <c r="R43" s="143">
        <v>0</v>
      </c>
      <c r="S43" s="159"/>
    </row>
    <row r="44" spans="1:19" hidden="1" x14ac:dyDescent="0.25">
      <c r="A44" s="166"/>
      <c r="B44" s="166"/>
      <c r="C44" s="166"/>
      <c r="D44" s="166"/>
      <c r="E44" s="166"/>
      <c r="F44" s="166"/>
      <c r="G44" s="166"/>
      <c r="H44" s="166"/>
      <c r="I44" s="166"/>
      <c r="J44" s="139"/>
      <c r="K44" s="140">
        <f>SUM(G58)</f>
        <v>0</v>
      </c>
      <c r="L44" s="141">
        <f>SUM(G58)</f>
        <v>0</v>
      </c>
      <c r="M44" s="141">
        <f>SUM(G58)</f>
        <v>0</v>
      </c>
      <c r="N44" s="141">
        <f>SUM(G58)</f>
        <v>0</v>
      </c>
      <c r="O44" s="142">
        <f>SUM(I58)</f>
        <v>0</v>
      </c>
      <c r="P44" s="143">
        <v>0</v>
      </c>
      <c r="Q44" s="143">
        <v>0</v>
      </c>
      <c r="R44" s="143">
        <v>0</v>
      </c>
      <c r="S44" s="159"/>
    </row>
    <row r="45" spans="1:19" hidden="1" x14ac:dyDescent="0.25">
      <c r="A45" s="166"/>
      <c r="B45" s="166"/>
      <c r="C45" s="166"/>
      <c r="D45" s="166"/>
      <c r="E45" s="166"/>
      <c r="F45" s="166"/>
      <c r="G45" s="166"/>
      <c r="H45" s="166"/>
      <c r="I45" s="166"/>
      <c r="J45" s="139" t="s">
        <v>34</v>
      </c>
      <c r="K45" s="140">
        <f>SUM(G59)</f>
        <v>93</v>
      </c>
      <c r="L45" s="141">
        <f>SUM(G59)</f>
        <v>93</v>
      </c>
      <c r="M45" s="150">
        <f>SUM(G59)</f>
        <v>93</v>
      </c>
      <c r="N45" s="150">
        <f>SUM(G59)</f>
        <v>93</v>
      </c>
      <c r="O45" s="142">
        <f>SUM(G59)</f>
        <v>93</v>
      </c>
      <c r="P45" s="143">
        <f>SUM(G59)</f>
        <v>93</v>
      </c>
      <c r="Q45" s="151">
        <f>SUM(G59)</f>
        <v>93</v>
      </c>
      <c r="R45" s="151">
        <f>SUM(G59)</f>
        <v>93</v>
      </c>
      <c r="S45" s="159"/>
    </row>
    <row r="46" spans="1:19" hidden="1" x14ac:dyDescent="0.25">
      <c r="A46" s="166"/>
      <c r="B46" s="166"/>
      <c r="C46" s="166"/>
      <c r="D46" s="166"/>
      <c r="E46" s="166"/>
      <c r="F46" s="166"/>
      <c r="G46" s="166"/>
      <c r="H46" s="166"/>
      <c r="I46" s="166"/>
      <c r="J46" s="139" t="s">
        <v>46</v>
      </c>
      <c r="K46" s="140">
        <f>SUM(G60)*F3</f>
        <v>187</v>
      </c>
      <c r="L46" s="141">
        <f>SUM(G60)*F3</f>
        <v>187</v>
      </c>
      <c r="M46" s="141">
        <f>SUM(G60)*F3</f>
        <v>187</v>
      </c>
      <c r="N46" s="141">
        <f>SUM(G60)*F3</f>
        <v>187</v>
      </c>
      <c r="O46" s="142">
        <f>SUM(G60)*F3</f>
        <v>187</v>
      </c>
      <c r="P46" s="143">
        <f>SUM(G60)*F3</f>
        <v>187</v>
      </c>
      <c r="Q46" s="143">
        <f>SUM(G60)*F3</f>
        <v>187</v>
      </c>
      <c r="R46" s="143">
        <f>SUM(G60)*F3</f>
        <v>187</v>
      </c>
      <c r="S46" s="159"/>
    </row>
    <row r="47" spans="1:19" hidden="1" x14ac:dyDescent="0.25">
      <c r="A47" s="166"/>
      <c r="B47" s="166"/>
      <c r="C47" s="166"/>
      <c r="D47" s="166"/>
      <c r="E47" s="166"/>
      <c r="F47" s="166"/>
      <c r="G47" s="166"/>
      <c r="H47" s="166"/>
      <c r="I47" s="166"/>
      <c r="J47" s="139" t="s">
        <v>49</v>
      </c>
      <c r="K47" s="152">
        <f>SUM((K39)*0.25)+(K46*0.15)</f>
        <v>811.8</v>
      </c>
      <c r="L47" s="152">
        <f t="shared" ref="L47:R47" si="9">SUM((L39)*0.25)+(L46*0.15)</f>
        <v>432.98750000000001</v>
      </c>
      <c r="M47" s="152">
        <f t="shared" si="9"/>
        <v>306.7166666666667</v>
      </c>
      <c r="N47" s="152">
        <f t="shared" si="9"/>
        <v>243.58125000000001</v>
      </c>
      <c r="O47" s="153">
        <f t="shared" si="9"/>
        <v>811.8</v>
      </c>
      <c r="P47" s="153">
        <f t="shared" si="9"/>
        <v>432.98750000000001</v>
      </c>
      <c r="Q47" s="153">
        <f t="shared" si="9"/>
        <v>306.7166666666667</v>
      </c>
      <c r="R47" s="153">
        <f t="shared" si="9"/>
        <v>243.58125000000001</v>
      </c>
      <c r="S47" s="159"/>
    </row>
    <row r="48" spans="1:19" ht="18.75" x14ac:dyDescent="0.3">
      <c r="A48" s="166"/>
      <c r="B48" s="166"/>
      <c r="C48" s="166"/>
      <c r="D48" s="166"/>
      <c r="E48" s="166"/>
      <c r="F48" s="166"/>
      <c r="G48" s="166"/>
      <c r="H48" s="166"/>
      <c r="I48" s="166"/>
      <c r="J48" s="281" t="s">
        <v>39</v>
      </c>
      <c r="K48" s="288">
        <f t="shared" ref="K48:R48" si="10">SUM(K39:K47)</f>
        <v>4226.8</v>
      </c>
      <c r="L48" s="288">
        <f t="shared" si="10"/>
        <v>2332.7375000000002</v>
      </c>
      <c r="M48" s="288">
        <f t="shared" si="10"/>
        <v>1701.3833333333334</v>
      </c>
      <c r="N48" s="288">
        <f t="shared" si="10"/>
        <v>1385.70625</v>
      </c>
      <c r="O48" s="289">
        <f t="shared" si="10"/>
        <v>4226.8</v>
      </c>
      <c r="P48" s="289">
        <f t="shared" si="10"/>
        <v>2332.7375000000002</v>
      </c>
      <c r="Q48" s="289">
        <f t="shared" si="10"/>
        <v>1701.3833333333334</v>
      </c>
      <c r="R48" s="289">
        <f t="shared" si="10"/>
        <v>1385.70625</v>
      </c>
      <c r="S48" s="159"/>
    </row>
    <row r="49" spans="1:65" x14ac:dyDescent="0.25">
      <c r="A49" s="166"/>
      <c r="B49" s="166"/>
      <c r="C49" s="166"/>
      <c r="D49" s="166"/>
      <c r="E49" s="166"/>
      <c r="F49" s="166"/>
      <c r="G49" s="166"/>
      <c r="H49" s="166"/>
      <c r="I49" s="166"/>
      <c r="J49" s="290" t="s">
        <v>40</v>
      </c>
      <c r="K49" s="291">
        <f>SUM(K39+K43+K44)*H4/100</f>
        <v>313.5</v>
      </c>
      <c r="L49" s="291">
        <f>SUM(L39+L43+L44)*H4/100</f>
        <v>161.97499999999999</v>
      </c>
      <c r="M49" s="291">
        <f>SUM(M39+M43+M44)*H4/100</f>
        <v>111.46666666666668</v>
      </c>
      <c r="N49" s="291">
        <f>SUM(N39+N43+N44)*H4/100</f>
        <v>86.212500000000006</v>
      </c>
      <c r="O49" s="292">
        <f>SUM(O39+O43+O44)*H4/100</f>
        <v>313.5</v>
      </c>
      <c r="P49" s="292">
        <f>SUM(P39+P43+P44)*H4/100</f>
        <v>161.97499999999999</v>
      </c>
      <c r="Q49" s="292">
        <f>SUM(Q39+Q43+Q44)*H4/100</f>
        <v>111.46666666666668</v>
      </c>
      <c r="R49" s="292">
        <f>SUM(R39+R43+R44)*H4/100</f>
        <v>86.212500000000006</v>
      </c>
      <c r="S49" s="159"/>
    </row>
    <row r="50" spans="1:65" ht="18" customHeight="1" x14ac:dyDescent="0.25">
      <c r="A50" s="166"/>
      <c r="B50" s="166"/>
      <c r="C50" s="166"/>
      <c r="D50" s="166"/>
      <c r="E50" s="166"/>
      <c r="F50" s="166"/>
      <c r="G50" s="166"/>
      <c r="H50" s="166"/>
      <c r="I50" s="166"/>
      <c r="J50" s="284" t="s">
        <v>41</v>
      </c>
      <c r="K50" s="293">
        <f t="shared" ref="K50:R50" si="11">SUM(K48-K49)</f>
        <v>3913.3</v>
      </c>
      <c r="L50" s="293">
        <f t="shared" si="11"/>
        <v>2170.7625000000003</v>
      </c>
      <c r="M50" s="293">
        <f t="shared" si="11"/>
        <v>1589.9166666666667</v>
      </c>
      <c r="N50" s="293">
        <f t="shared" si="11"/>
        <v>1299.4937499999999</v>
      </c>
      <c r="O50" s="292">
        <f t="shared" si="11"/>
        <v>3913.3</v>
      </c>
      <c r="P50" s="292">
        <f t="shared" si="11"/>
        <v>2170.7625000000003</v>
      </c>
      <c r="Q50" s="292">
        <f t="shared" si="11"/>
        <v>1589.9166666666667</v>
      </c>
      <c r="R50" s="292">
        <f t="shared" si="11"/>
        <v>1299.4937499999999</v>
      </c>
      <c r="S50" s="159"/>
    </row>
    <row r="51" spans="1:65" ht="20.100000000000001" hidden="1" customHeight="1" x14ac:dyDescent="0.25">
      <c r="A51" s="159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</row>
    <row r="52" spans="1:65" hidden="1" x14ac:dyDescent="0.25">
      <c r="A52" s="159"/>
      <c r="B52" s="159"/>
      <c r="C52" s="159"/>
      <c r="D52" s="165"/>
      <c r="E52" s="7" t="s">
        <v>6</v>
      </c>
      <c r="F52" s="8" t="s">
        <v>7</v>
      </c>
      <c r="G52" s="8" t="s">
        <v>8</v>
      </c>
      <c r="H52" s="8" t="s">
        <v>9</v>
      </c>
      <c r="I52" s="8" t="s">
        <v>10</v>
      </c>
      <c r="J52" s="159"/>
      <c r="K52" s="159"/>
      <c r="L52" s="159"/>
      <c r="M52" s="159"/>
      <c r="N52" s="159"/>
      <c r="O52" s="159"/>
      <c r="P52" s="159"/>
      <c r="Q52" s="159"/>
      <c r="R52" s="159"/>
      <c r="S52" s="159"/>
    </row>
    <row r="53" spans="1:65" s="159" customFormat="1" hidden="1" x14ac:dyDescent="0.25">
      <c r="A53" s="27" t="s">
        <v>19</v>
      </c>
      <c r="B53" s="263">
        <v>30</v>
      </c>
      <c r="D53" s="14" t="s">
        <v>12</v>
      </c>
      <c r="E53" s="15" t="s">
        <v>13</v>
      </c>
      <c r="F53" s="16">
        <v>190</v>
      </c>
      <c r="G53" s="17">
        <v>199.5</v>
      </c>
      <c r="H53" s="17">
        <v>209</v>
      </c>
      <c r="I53" s="18">
        <v>218.5</v>
      </c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</row>
    <row r="54" spans="1:65" s="159" customFormat="1" hidden="1" x14ac:dyDescent="0.25">
      <c r="A54" s="27" t="s">
        <v>22</v>
      </c>
      <c r="B54" s="263">
        <v>11</v>
      </c>
      <c r="D54" s="14" t="s">
        <v>12</v>
      </c>
      <c r="E54" s="23" t="s">
        <v>18</v>
      </c>
      <c r="F54" s="24">
        <v>237.5</v>
      </c>
      <c r="G54" s="25">
        <v>247</v>
      </c>
      <c r="H54" s="25">
        <v>256.5</v>
      </c>
      <c r="I54" s="26">
        <v>266</v>
      </c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</row>
    <row r="55" spans="1:65" s="159" customFormat="1" hidden="1" x14ac:dyDescent="0.25">
      <c r="A55" s="262" t="s">
        <v>24</v>
      </c>
      <c r="B55" s="263">
        <v>17</v>
      </c>
      <c r="D55" s="14" t="s">
        <v>12</v>
      </c>
      <c r="E55" s="33" t="s">
        <v>21</v>
      </c>
      <c r="F55" s="34">
        <v>261.25</v>
      </c>
      <c r="G55" s="35">
        <v>270.75</v>
      </c>
      <c r="H55" s="35">
        <v>280.25</v>
      </c>
      <c r="I55" s="36">
        <v>289.75</v>
      </c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</row>
    <row r="56" spans="1:65" s="159" customFormat="1" hidden="1" x14ac:dyDescent="0.25">
      <c r="A56" s="262" t="s">
        <v>53</v>
      </c>
      <c r="B56" s="263">
        <v>20</v>
      </c>
      <c r="D56" s="14" t="s">
        <v>12</v>
      </c>
      <c r="E56" s="41" t="s">
        <v>23</v>
      </c>
      <c r="F56" s="42">
        <v>285</v>
      </c>
      <c r="G56" s="43">
        <v>294.5</v>
      </c>
      <c r="H56" s="43">
        <v>304</v>
      </c>
      <c r="I56" s="44">
        <v>313.5</v>
      </c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</row>
    <row r="57" spans="1:65" ht="15.75" hidden="1" thickBot="1" x14ac:dyDescent="0.3">
      <c r="A57" s="264" t="s">
        <v>54</v>
      </c>
      <c r="B57" s="265">
        <v>15</v>
      </c>
      <c r="D57" s="47" t="s">
        <v>12</v>
      </c>
      <c r="E57" s="48" t="s">
        <v>26</v>
      </c>
      <c r="F57" s="173"/>
      <c r="G57" s="174">
        <v>115</v>
      </c>
      <c r="H57" s="49" t="s">
        <v>27</v>
      </c>
      <c r="I57" s="173"/>
      <c r="J57" s="159"/>
      <c r="K57" s="159"/>
      <c r="L57" s="159"/>
      <c r="M57" s="159"/>
      <c r="N57" s="159"/>
      <c r="O57" s="159"/>
      <c r="P57" s="159"/>
      <c r="Q57" s="159"/>
      <c r="R57" s="159"/>
      <c r="S57" s="159"/>
    </row>
    <row r="58" spans="1:65" hidden="1" x14ac:dyDescent="0.25">
      <c r="D58" s="212"/>
      <c r="E58" s="165"/>
      <c r="F58" s="165"/>
      <c r="G58" s="211"/>
      <c r="H58" s="165"/>
      <c r="I58" s="165"/>
      <c r="J58" s="159"/>
      <c r="K58" s="159"/>
      <c r="L58" s="159"/>
      <c r="M58" s="159"/>
      <c r="N58" s="159"/>
      <c r="O58" s="159"/>
      <c r="P58" s="159"/>
      <c r="Q58" s="159"/>
      <c r="R58" s="159"/>
      <c r="S58" s="159"/>
    </row>
    <row r="59" spans="1:65" hidden="1" x14ac:dyDescent="0.25">
      <c r="D59" s="50" t="s">
        <v>28</v>
      </c>
      <c r="E59" s="261" t="s">
        <v>14</v>
      </c>
      <c r="F59" s="165"/>
      <c r="G59" s="207">
        <f>SUM(B53:B57)</f>
        <v>93</v>
      </c>
      <c r="H59" s="7" t="s">
        <v>29</v>
      </c>
      <c r="I59" s="165"/>
      <c r="J59" s="159"/>
      <c r="K59" s="159"/>
      <c r="L59" s="159"/>
      <c r="M59" s="159"/>
      <c r="N59" s="159"/>
      <c r="O59" s="159"/>
      <c r="P59" s="159"/>
      <c r="Q59" s="159"/>
      <c r="R59" s="159"/>
      <c r="S59" s="159"/>
    </row>
    <row r="60" spans="1:65" hidden="1" x14ac:dyDescent="0.25">
      <c r="D60" s="50" t="s">
        <v>28</v>
      </c>
      <c r="E60" s="7" t="s">
        <v>31</v>
      </c>
      <c r="F60" s="165"/>
      <c r="G60" s="158">
        <v>17</v>
      </c>
      <c r="H60" s="7" t="s">
        <v>32</v>
      </c>
      <c r="I60" s="165"/>
      <c r="J60" s="159"/>
      <c r="K60" s="159"/>
      <c r="L60" s="159"/>
      <c r="M60" s="159"/>
      <c r="N60" s="159"/>
      <c r="O60" s="159"/>
      <c r="P60" s="159"/>
      <c r="Q60" s="159"/>
      <c r="R60" s="159"/>
      <c r="S60" s="159"/>
    </row>
    <row r="61" spans="1:65" hidden="1" x14ac:dyDescent="0.25">
      <c r="D61" s="50" t="s">
        <v>28</v>
      </c>
      <c r="E61" s="7" t="s">
        <v>35</v>
      </c>
      <c r="F61" s="165"/>
      <c r="G61" s="201" t="s">
        <v>72</v>
      </c>
      <c r="H61" s="7"/>
      <c r="I61" s="165"/>
      <c r="J61" s="159"/>
      <c r="K61" s="159"/>
      <c r="L61" s="159"/>
      <c r="M61" s="159"/>
      <c r="N61" s="159"/>
      <c r="O61" s="159"/>
      <c r="P61" s="159"/>
      <c r="Q61" s="159"/>
      <c r="R61" s="159"/>
      <c r="S61" s="159"/>
    </row>
    <row r="62" spans="1:65" ht="48" customHeight="1" x14ac:dyDescent="0.7">
      <c r="A62" s="159"/>
      <c r="B62" s="159"/>
      <c r="C62" s="260" t="s">
        <v>69</v>
      </c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</row>
    <row r="63" spans="1:65" ht="15.75" thickBot="1" x14ac:dyDescent="0.3">
      <c r="A63" s="159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</row>
    <row r="64" spans="1:65" ht="21.75" thickBot="1" x14ac:dyDescent="0.4">
      <c r="B64" s="576" t="s">
        <v>50</v>
      </c>
      <c r="C64" s="577"/>
      <c r="D64" s="577"/>
      <c r="E64" s="577"/>
      <c r="F64" s="556" t="s">
        <v>18</v>
      </c>
      <c r="G64" s="557"/>
      <c r="H64" s="557"/>
      <c r="I64" s="558"/>
      <c r="J64" s="560" t="s">
        <v>43</v>
      </c>
      <c r="K64" s="560"/>
      <c r="L64" s="560"/>
      <c r="M64" s="561"/>
      <c r="N64" s="578" t="s">
        <v>52</v>
      </c>
      <c r="O64" s="578"/>
      <c r="P64" s="578"/>
      <c r="Q64" s="579"/>
      <c r="R64" s="159"/>
      <c r="S64" s="159"/>
    </row>
    <row r="65" spans="1:19" ht="19.5" thickBot="1" x14ac:dyDescent="0.35">
      <c r="A65" s="9"/>
      <c r="B65" s="580" t="s">
        <v>51</v>
      </c>
      <c r="C65" s="581"/>
      <c r="D65" s="581"/>
      <c r="E65" s="581"/>
      <c r="F65" s="582" t="s">
        <v>51</v>
      </c>
      <c r="G65" s="583"/>
      <c r="H65" s="583"/>
      <c r="I65" s="584"/>
      <c r="J65" s="585" t="s">
        <v>51</v>
      </c>
      <c r="K65" s="585"/>
      <c r="L65" s="585"/>
      <c r="M65" s="570"/>
      <c r="N65" s="586" t="s">
        <v>51</v>
      </c>
      <c r="O65" s="586"/>
      <c r="P65" s="586"/>
      <c r="Q65" s="587"/>
      <c r="R65" s="159"/>
      <c r="S65" s="159"/>
    </row>
    <row r="66" spans="1:19" x14ac:dyDescent="0.25">
      <c r="A66" s="67"/>
      <c r="B66" s="248" t="s">
        <v>7</v>
      </c>
      <c r="C66" s="249" t="s">
        <v>8</v>
      </c>
      <c r="D66" s="221" t="s">
        <v>9</v>
      </c>
      <c r="E66" s="221" t="s">
        <v>10</v>
      </c>
      <c r="F66" s="253" t="s">
        <v>7</v>
      </c>
      <c r="G66" s="229" t="s">
        <v>8</v>
      </c>
      <c r="H66" s="229" t="s">
        <v>9</v>
      </c>
      <c r="I66" s="229" t="s">
        <v>10</v>
      </c>
      <c r="J66" s="72" t="s">
        <v>7</v>
      </c>
      <c r="K66" s="73" t="s">
        <v>8</v>
      </c>
      <c r="L66" s="74" t="s">
        <v>9</v>
      </c>
      <c r="M66" s="74" t="s">
        <v>10</v>
      </c>
      <c r="N66" s="256" t="s">
        <v>7</v>
      </c>
      <c r="O66" s="237" t="s">
        <v>8</v>
      </c>
      <c r="P66" s="237" t="s">
        <v>9</v>
      </c>
      <c r="Q66" s="236" t="s">
        <v>10</v>
      </c>
      <c r="R66" s="159"/>
      <c r="S66" s="159"/>
    </row>
    <row r="67" spans="1:19" hidden="1" x14ac:dyDescent="0.25">
      <c r="A67" s="28" t="s">
        <v>20</v>
      </c>
      <c r="B67" s="250">
        <f>SUM(F3*200)</f>
        <v>2200</v>
      </c>
      <c r="C67" s="250">
        <f>SUM(F3*210)</f>
        <v>2310</v>
      </c>
      <c r="D67" s="251">
        <f>SUM(F3*220)</f>
        <v>2420</v>
      </c>
      <c r="E67" s="251">
        <f>SUM(F3*230)</f>
        <v>2530</v>
      </c>
      <c r="F67" s="254">
        <f>SUM(F3*250)</f>
        <v>2750</v>
      </c>
      <c r="G67" s="254">
        <f>SUM(F3*260)</f>
        <v>2860</v>
      </c>
      <c r="H67" s="230">
        <f>SUM(F3*270)</f>
        <v>2970</v>
      </c>
      <c r="I67" s="230">
        <f>SUM(F3*280)</f>
        <v>3080</v>
      </c>
      <c r="J67" s="91">
        <f>SUM(F3*275)</f>
        <v>3025</v>
      </c>
      <c r="K67" s="91">
        <f>SUM(F3*285)</f>
        <v>3135</v>
      </c>
      <c r="L67" s="91">
        <f>SUM(F3*295)</f>
        <v>3245</v>
      </c>
      <c r="M67" s="91">
        <f>SUM(F3*305)</f>
        <v>3355</v>
      </c>
      <c r="N67" s="257">
        <f>SUM(F3*300)</f>
        <v>3300</v>
      </c>
      <c r="O67" s="244">
        <f>SUM(F3*310)</f>
        <v>3410</v>
      </c>
      <c r="P67" s="238">
        <f>SUM(F3*320)</f>
        <v>3520</v>
      </c>
      <c r="Q67" s="244">
        <f>SUM(F3*330)</f>
        <v>3630</v>
      </c>
      <c r="R67" s="159"/>
      <c r="S67" s="159"/>
    </row>
    <row r="68" spans="1:19" hidden="1" x14ac:dyDescent="0.25">
      <c r="A68" s="28" t="s">
        <v>35</v>
      </c>
      <c r="B68" s="223">
        <f>SUM((B67)*0.25)</f>
        <v>550</v>
      </c>
      <c r="C68" s="223">
        <f t="shared" ref="C68:Q68" si="12">SUM((C67)*0.25)</f>
        <v>577.5</v>
      </c>
      <c r="D68" s="223">
        <f t="shared" si="12"/>
        <v>605</v>
      </c>
      <c r="E68" s="223">
        <f t="shared" si="12"/>
        <v>632.5</v>
      </c>
      <c r="F68" s="117">
        <f t="shared" si="12"/>
        <v>687.5</v>
      </c>
      <c r="G68" s="117">
        <f t="shared" si="12"/>
        <v>715</v>
      </c>
      <c r="H68" s="117">
        <f t="shared" si="12"/>
        <v>742.5</v>
      </c>
      <c r="I68" s="117">
        <f t="shared" si="12"/>
        <v>770</v>
      </c>
      <c r="J68" s="512">
        <f t="shared" si="12"/>
        <v>756.25</v>
      </c>
      <c r="K68" s="512">
        <f t="shared" si="12"/>
        <v>783.75</v>
      </c>
      <c r="L68" s="512">
        <f t="shared" si="12"/>
        <v>811.25</v>
      </c>
      <c r="M68" s="512">
        <f t="shared" si="12"/>
        <v>838.75</v>
      </c>
      <c r="N68" s="513">
        <f t="shared" si="12"/>
        <v>825</v>
      </c>
      <c r="O68" s="513">
        <f t="shared" si="12"/>
        <v>852.5</v>
      </c>
      <c r="P68" s="513">
        <f t="shared" si="12"/>
        <v>880</v>
      </c>
      <c r="Q68" s="513">
        <f t="shared" si="12"/>
        <v>907.5</v>
      </c>
      <c r="R68" s="159"/>
      <c r="S68" s="159"/>
    </row>
    <row r="69" spans="1:19" ht="18.75" x14ac:dyDescent="0.3">
      <c r="A69" s="120" t="s">
        <v>39</v>
      </c>
      <c r="B69" s="224">
        <f t="shared" ref="B69:Q69" si="13">SUM(B67:B68)</f>
        <v>2750</v>
      </c>
      <c r="C69" s="225">
        <f t="shared" si="13"/>
        <v>2887.5</v>
      </c>
      <c r="D69" s="225">
        <f t="shared" si="13"/>
        <v>3025</v>
      </c>
      <c r="E69" s="225">
        <f t="shared" si="13"/>
        <v>3162.5</v>
      </c>
      <c r="F69" s="231">
        <f t="shared" si="13"/>
        <v>3437.5</v>
      </c>
      <c r="G69" s="232">
        <f t="shared" si="13"/>
        <v>3575</v>
      </c>
      <c r="H69" s="232">
        <f>SUM(H67:H68)</f>
        <v>3712.5</v>
      </c>
      <c r="I69" s="232">
        <f t="shared" si="13"/>
        <v>3850</v>
      </c>
      <c r="J69" s="121">
        <f t="shared" si="13"/>
        <v>3781.25</v>
      </c>
      <c r="K69" s="122">
        <f t="shared" si="13"/>
        <v>3918.75</v>
      </c>
      <c r="L69" s="122">
        <f t="shared" si="13"/>
        <v>4056.25</v>
      </c>
      <c r="M69" s="123">
        <f t="shared" si="13"/>
        <v>4193.75</v>
      </c>
      <c r="N69" s="239">
        <f t="shared" si="13"/>
        <v>4125</v>
      </c>
      <c r="O69" s="240">
        <f t="shared" si="13"/>
        <v>4262.5</v>
      </c>
      <c r="P69" s="240">
        <f t="shared" si="13"/>
        <v>4400</v>
      </c>
      <c r="Q69" s="246">
        <f t="shared" si="13"/>
        <v>4537.5</v>
      </c>
      <c r="R69" s="159"/>
      <c r="S69" s="159"/>
    </row>
    <row r="70" spans="1:19" ht="15.75" thickBot="1" x14ac:dyDescent="0.3">
      <c r="A70" s="124" t="s">
        <v>40</v>
      </c>
      <c r="B70" s="226">
        <f>SUM(B67)*H4/100</f>
        <v>220</v>
      </c>
      <c r="C70" s="226">
        <f>SUM(C67)*H4/100</f>
        <v>231</v>
      </c>
      <c r="D70" s="226">
        <f>SUM(D67)*H4/100</f>
        <v>242</v>
      </c>
      <c r="E70" s="226">
        <f>SUM(E67)*H4/100</f>
        <v>253</v>
      </c>
      <c r="F70" s="125">
        <f>SUM(F67)*H4/100</f>
        <v>275</v>
      </c>
      <c r="G70" s="125">
        <f>SUM(G67)*H4/100</f>
        <v>286</v>
      </c>
      <c r="H70" s="125">
        <f>SUM(H67)*H4/100</f>
        <v>297</v>
      </c>
      <c r="I70" s="125">
        <f>SUM(I67)*H4/100</f>
        <v>308</v>
      </c>
      <c r="J70" s="243">
        <f>SUM(J67)*H4/100</f>
        <v>302.5</v>
      </c>
      <c r="K70" s="243">
        <f>SUM(K67)*H4/100</f>
        <v>313.5</v>
      </c>
      <c r="L70" s="243">
        <f>SUM(L67)*H4/100</f>
        <v>324.5</v>
      </c>
      <c r="M70" s="243">
        <f>SUM(M67)*H4/100</f>
        <v>335.5</v>
      </c>
      <c r="N70" s="235">
        <f>SUM(N67)*H4/100</f>
        <v>330</v>
      </c>
      <c r="O70" s="235">
        <f>SUM(O67)*H4/100</f>
        <v>341</v>
      </c>
      <c r="P70" s="235">
        <f>SUM(P67)*H4/100</f>
        <v>352</v>
      </c>
      <c r="Q70" s="247">
        <f>SUM(Q67)*H4/100</f>
        <v>363</v>
      </c>
      <c r="R70" s="159"/>
      <c r="S70" s="159"/>
    </row>
    <row r="71" spans="1:19" ht="15.75" thickBot="1" x14ac:dyDescent="0.3">
      <c r="A71" s="120" t="s">
        <v>41</v>
      </c>
      <c r="B71" s="227">
        <f t="shared" ref="B71:Q71" si="14">SUM(B69-B70)</f>
        <v>2530</v>
      </c>
      <c r="C71" s="228">
        <f t="shared" si="14"/>
        <v>2656.5</v>
      </c>
      <c r="D71" s="228">
        <f t="shared" si="14"/>
        <v>2783</v>
      </c>
      <c r="E71" s="228">
        <f t="shared" si="14"/>
        <v>2909.5</v>
      </c>
      <c r="F71" s="233">
        <f t="shared" si="14"/>
        <v>3162.5</v>
      </c>
      <c r="G71" s="234">
        <f t="shared" si="14"/>
        <v>3289</v>
      </c>
      <c r="H71" s="234">
        <f t="shared" si="14"/>
        <v>3415.5</v>
      </c>
      <c r="I71" s="234">
        <f t="shared" si="14"/>
        <v>3542</v>
      </c>
      <c r="J71" s="126">
        <f t="shared" si="14"/>
        <v>3478.75</v>
      </c>
      <c r="K71" s="127">
        <f t="shared" si="14"/>
        <v>3605.25</v>
      </c>
      <c r="L71" s="127">
        <f t="shared" si="14"/>
        <v>3731.75</v>
      </c>
      <c r="M71" s="127">
        <f t="shared" si="14"/>
        <v>3858.25</v>
      </c>
      <c r="N71" s="241">
        <f t="shared" si="14"/>
        <v>3795</v>
      </c>
      <c r="O71" s="242">
        <f t="shared" si="14"/>
        <v>3921.5</v>
      </c>
      <c r="P71" s="242">
        <f t="shared" si="14"/>
        <v>4048</v>
      </c>
      <c r="Q71" s="245">
        <f t="shared" si="14"/>
        <v>4174.5</v>
      </c>
      <c r="R71" s="159"/>
      <c r="S71" s="159"/>
    </row>
    <row r="72" spans="1:19" x14ac:dyDescent="0.2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</row>
    <row r="73" spans="1:19" x14ac:dyDescent="0.2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</row>
  </sheetData>
  <sheetProtection algorithmName="SHA-512" hashValue="dDp65ejV95Lmn3kgS8FQTqz5HpsGlbfo4TXmohAaNj+1qZWoajdFZDffkhNKHv+mkxYC75CtC+jVjLItwRJS4g==" saltValue="ezECQvoDmLA05GKW454XOA==" spinCount="100000" sheet="1" objects="1" scenarios="1"/>
  <mergeCells count="21">
    <mergeCell ref="K36:N36"/>
    <mergeCell ref="O36:R36"/>
    <mergeCell ref="B20:E20"/>
    <mergeCell ref="F20:I20"/>
    <mergeCell ref="K20:N20"/>
    <mergeCell ref="O20:R20"/>
    <mergeCell ref="J35:R35"/>
    <mergeCell ref="B1:C1"/>
    <mergeCell ref="J3:R3"/>
    <mergeCell ref="J4:N4"/>
    <mergeCell ref="O4:R4"/>
    <mergeCell ref="A19:I19"/>
    <mergeCell ref="J19:R19"/>
    <mergeCell ref="B64:E64"/>
    <mergeCell ref="F64:I64"/>
    <mergeCell ref="J64:M64"/>
    <mergeCell ref="N64:Q64"/>
    <mergeCell ref="B65:E65"/>
    <mergeCell ref="F65:I65"/>
    <mergeCell ref="J65:M65"/>
    <mergeCell ref="N65:Q65"/>
  </mergeCells>
  <pageMargins left="0.7" right="0.7" top="0.75" bottom="0.75" header="0.3" footer="0.3"/>
  <pageSetup paperSize="9" orientation="portrait" r:id="rId1"/>
  <ignoredErrors>
    <ignoredError sqref="K12:L12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AA73"/>
  <sheetViews>
    <sheetView workbookViewId="0">
      <selection activeCell="F4" sqref="F4"/>
    </sheetView>
  </sheetViews>
  <sheetFormatPr defaultColWidth="8.85546875" defaultRowHeight="15" x14ac:dyDescent="0.25"/>
  <cols>
    <col min="1" max="1" width="21" customWidth="1"/>
    <col min="2" max="3" width="18.7109375" customWidth="1"/>
    <col min="4" max="4" width="14.42578125" bestFit="1" customWidth="1"/>
    <col min="5" max="5" width="18.42578125" customWidth="1"/>
    <col min="6" max="6" width="20.42578125" customWidth="1"/>
    <col min="7" max="7" width="14.42578125" bestFit="1" customWidth="1"/>
    <col min="8" max="8" width="14.140625" customWidth="1"/>
    <col min="9" max="9" width="17" customWidth="1"/>
    <col min="10" max="10" width="14.7109375" bestFit="1" customWidth="1"/>
    <col min="11" max="11" width="14.42578125" bestFit="1" customWidth="1"/>
    <col min="12" max="12" width="15.28515625" bestFit="1" customWidth="1"/>
    <col min="13" max="13" width="14.42578125" customWidth="1"/>
    <col min="14" max="14" width="14.42578125" bestFit="1" customWidth="1"/>
    <col min="15" max="15" width="15.140625" customWidth="1"/>
    <col min="16" max="16" width="14.42578125" bestFit="1" customWidth="1"/>
    <col min="17" max="17" width="14.140625" customWidth="1"/>
    <col min="18" max="18" width="12.28515625" bestFit="1" customWidth="1"/>
  </cols>
  <sheetData>
    <row r="1" spans="1:19" ht="33.75" customHeight="1" x14ac:dyDescent="0.25">
      <c r="A1" s="175"/>
      <c r="B1" s="192" t="s">
        <v>81</v>
      </c>
      <c r="C1" s="192"/>
      <c r="D1" s="219" t="s">
        <v>47</v>
      </c>
      <c r="E1" s="192"/>
      <c r="F1" s="176"/>
      <c r="G1" s="175"/>
      <c r="H1" s="175"/>
      <c r="I1" s="175"/>
      <c r="J1" s="175"/>
      <c r="K1" s="175"/>
      <c r="L1" s="177"/>
      <c r="M1" s="177"/>
      <c r="N1" s="177"/>
      <c r="O1" s="177"/>
      <c r="P1" s="175"/>
      <c r="Q1" s="175"/>
      <c r="R1" s="175"/>
      <c r="S1" s="175"/>
    </row>
    <row r="2" spans="1:19" ht="30" customHeight="1" thickBot="1" x14ac:dyDescent="0.4">
      <c r="A2" s="191" t="s">
        <v>82</v>
      </c>
      <c r="B2" s="190"/>
      <c r="C2" s="178"/>
      <c r="D2" s="178"/>
      <c r="E2" s="178"/>
      <c r="F2" s="176"/>
      <c r="G2" s="175"/>
      <c r="H2" s="175"/>
      <c r="I2" s="175"/>
      <c r="J2" s="175"/>
      <c r="K2" s="175"/>
      <c r="L2" s="179"/>
      <c r="M2" s="179"/>
      <c r="N2" s="179"/>
      <c r="O2" s="179"/>
      <c r="P2" s="175"/>
      <c r="Q2" s="175"/>
      <c r="R2" s="175"/>
      <c r="S2" s="175"/>
    </row>
    <row r="3" spans="1:19" ht="21.75" thickBot="1" x14ac:dyDescent="0.4">
      <c r="A3" s="2"/>
      <c r="B3" s="175"/>
      <c r="C3" s="175"/>
      <c r="D3" s="175"/>
      <c r="E3" s="199" t="s">
        <v>0</v>
      </c>
      <c r="F3" s="200">
        <v>7</v>
      </c>
      <c r="G3" s="175"/>
      <c r="H3" s="175"/>
      <c r="I3" s="175"/>
      <c r="J3" s="550" t="s">
        <v>1</v>
      </c>
      <c r="K3" s="551"/>
      <c r="L3" s="551"/>
      <c r="M3" s="551"/>
      <c r="N3" s="551"/>
      <c r="O3" s="551"/>
      <c r="P3" s="551"/>
      <c r="Q3" s="551"/>
      <c r="R3" s="589"/>
      <c r="S3" s="175"/>
    </row>
    <row r="4" spans="1:19" ht="19.5" thickBot="1" x14ac:dyDescent="0.35">
      <c r="A4" s="2"/>
      <c r="B4" s="3"/>
      <c r="C4" s="3"/>
      <c r="D4" s="3"/>
      <c r="E4" s="4" t="s">
        <v>2</v>
      </c>
      <c r="F4" s="5">
        <v>0</v>
      </c>
      <c r="G4" s="3"/>
      <c r="H4" s="214">
        <v>10</v>
      </c>
      <c r="I4" s="6" t="s">
        <v>3</v>
      </c>
      <c r="J4" s="552" t="s">
        <v>4</v>
      </c>
      <c r="K4" s="609"/>
      <c r="L4" s="609"/>
      <c r="M4" s="609"/>
      <c r="N4" s="553"/>
      <c r="O4" s="554" t="s">
        <v>5</v>
      </c>
      <c r="P4" s="555"/>
      <c r="Q4" s="555"/>
      <c r="R4" s="593"/>
      <c r="S4" s="175"/>
    </row>
    <row r="5" spans="1:19" x14ac:dyDescent="0.25">
      <c r="A5" s="52"/>
      <c r="B5" s="175"/>
      <c r="C5" s="175"/>
      <c r="D5" s="175"/>
      <c r="E5" s="175"/>
      <c r="F5" s="175"/>
      <c r="G5" s="175"/>
      <c r="H5" s="175"/>
      <c r="I5" s="175"/>
      <c r="J5" s="9"/>
      <c r="K5" s="10" t="s">
        <v>7</v>
      </c>
      <c r="L5" s="11" t="s">
        <v>8</v>
      </c>
      <c r="M5" s="11" t="s">
        <v>9</v>
      </c>
      <c r="N5" s="11" t="s">
        <v>10</v>
      </c>
      <c r="O5" s="12" t="s">
        <v>7</v>
      </c>
      <c r="P5" s="13" t="s">
        <v>8</v>
      </c>
      <c r="Q5" s="12" t="s">
        <v>11</v>
      </c>
      <c r="R5" s="12" t="s">
        <v>10</v>
      </c>
      <c r="S5" s="175"/>
    </row>
    <row r="6" spans="1:19" s="341" customFormat="1" x14ac:dyDescent="0.25">
      <c r="A6" s="52"/>
      <c r="B6" s="180"/>
      <c r="C6" s="180"/>
      <c r="D6" s="180"/>
      <c r="E6" s="180"/>
      <c r="F6" s="180"/>
      <c r="G6" s="180"/>
      <c r="H6" s="180"/>
      <c r="I6" s="180"/>
      <c r="J6" s="9"/>
      <c r="K6" s="10" t="s">
        <v>15</v>
      </c>
      <c r="L6" s="19" t="s">
        <v>16</v>
      </c>
      <c r="M6" s="19" t="s">
        <v>16</v>
      </c>
      <c r="N6" s="19" t="s">
        <v>16</v>
      </c>
      <c r="O6" s="20" t="s">
        <v>17</v>
      </c>
      <c r="P6" s="21" t="s">
        <v>17</v>
      </c>
      <c r="Q6" s="22" t="s">
        <v>17</v>
      </c>
      <c r="R6" s="22" t="s">
        <v>17</v>
      </c>
      <c r="S6" s="180"/>
    </row>
    <row r="7" spans="1:19" s="341" customFormat="1" hidden="1" x14ac:dyDescent="0.25">
      <c r="A7" s="52"/>
      <c r="B7" s="180"/>
      <c r="C7" s="180"/>
      <c r="D7" s="180"/>
      <c r="E7" s="180"/>
      <c r="F7" s="180"/>
      <c r="G7" s="180"/>
      <c r="H7" s="180"/>
      <c r="I7" s="180"/>
      <c r="J7" s="28" t="s">
        <v>20</v>
      </c>
      <c r="K7" s="29">
        <f>SUM(F54)*F3</f>
        <v>1197</v>
      </c>
      <c r="L7" s="30">
        <f>SUM((G54)*F3)/2</f>
        <v>631.75</v>
      </c>
      <c r="M7" s="30">
        <f>SUM((H54)*F3)/3</f>
        <v>443.33333333333331</v>
      </c>
      <c r="N7" s="30">
        <f>SUM((I54)*F3)/4</f>
        <v>349.125</v>
      </c>
      <c r="O7" s="31">
        <f>SUM((F54)*F3)</f>
        <v>1197</v>
      </c>
      <c r="P7" s="32">
        <f>SUM((G54)*F3)/2</f>
        <v>631.75</v>
      </c>
      <c r="Q7" s="31">
        <f>SUM((H54)*F3)/3</f>
        <v>443.33333333333331</v>
      </c>
      <c r="R7" s="31">
        <f>SUM((I54)*F3)/4</f>
        <v>349.125</v>
      </c>
      <c r="S7" s="180"/>
    </row>
    <row r="8" spans="1:19" s="341" customFormat="1" hidden="1" x14ac:dyDescent="0.25">
      <c r="A8" s="52"/>
      <c r="B8" s="180"/>
      <c r="C8" s="180"/>
      <c r="D8" s="180"/>
      <c r="E8" s="180"/>
      <c r="F8" s="180"/>
      <c r="G8" s="180"/>
      <c r="H8" s="180"/>
      <c r="I8" s="180"/>
      <c r="J8" s="28"/>
      <c r="K8" s="37"/>
      <c r="L8" s="38"/>
      <c r="M8" s="38"/>
      <c r="N8" s="38"/>
      <c r="O8" s="39"/>
      <c r="P8" s="40"/>
      <c r="Q8" s="31"/>
      <c r="R8" s="31"/>
      <c r="S8" s="180"/>
    </row>
    <row r="9" spans="1:19" s="341" customFormat="1" hidden="1" x14ac:dyDescent="0.25">
      <c r="A9" s="52"/>
      <c r="B9" s="180"/>
      <c r="C9" s="180"/>
      <c r="D9" s="180"/>
      <c r="E9" s="180"/>
      <c r="F9" s="180"/>
      <c r="G9" s="180"/>
      <c r="H9" s="180"/>
      <c r="I9" s="180"/>
      <c r="J9" s="28"/>
      <c r="K9" s="37"/>
      <c r="L9" s="38"/>
      <c r="M9" s="38"/>
      <c r="N9" s="38"/>
      <c r="O9" s="45" t="s">
        <v>25</v>
      </c>
      <c r="P9" s="46" t="s">
        <v>25</v>
      </c>
      <c r="Q9" s="31"/>
      <c r="R9" s="31"/>
      <c r="S9" s="180"/>
    </row>
    <row r="10" spans="1:19" s="341" customFormat="1" hidden="1" x14ac:dyDescent="0.25">
      <c r="A10" s="52"/>
      <c r="B10" s="180"/>
      <c r="C10" s="180"/>
      <c r="D10" s="180"/>
      <c r="E10" s="180"/>
      <c r="F10" s="180"/>
      <c r="G10" s="180"/>
      <c r="H10" s="180"/>
      <c r="I10" s="180"/>
      <c r="J10" s="28"/>
      <c r="K10" s="37"/>
      <c r="L10" s="38"/>
      <c r="M10" s="38"/>
      <c r="N10" s="38"/>
      <c r="O10" s="39"/>
      <c r="P10" s="40"/>
      <c r="Q10" s="31"/>
      <c r="R10" s="31"/>
      <c r="S10" s="180"/>
    </row>
    <row r="11" spans="1:19" s="341" customFormat="1" hidden="1" x14ac:dyDescent="0.25">
      <c r="A11" s="52"/>
      <c r="B11" s="180"/>
      <c r="C11" s="180"/>
      <c r="D11" s="180"/>
      <c r="E11" s="180"/>
      <c r="F11" s="180"/>
      <c r="G11" s="180"/>
      <c r="H11" s="180"/>
      <c r="I11" s="180"/>
      <c r="J11" s="28" t="s">
        <v>15</v>
      </c>
      <c r="K11" s="29">
        <f>SUM(G58*F4)</f>
        <v>0</v>
      </c>
      <c r="L11" s="30">
        <f>SUM(G58*F4)</f>
        <v>0</v>
      </c>
      <c r="M11" s="30">
        <f>SUM(G58*F4)</f>
        <v>0</v>
      </c>
      <c r="N11" s="30">
        <f>SUM(G58*F4)</f>
        <v>0</v>
      </c>
      <c r="O11" s="31">
        <v>0</v>
      </c>
      <c r="P11" s="32">
        <v>0</v>
      </c>
      <c r="Q11" s="31">
        <v>0</v>
      </c>
      <c r="R11" s="31">
        <v>0</v>
      </c>
      <c r="S11" s="180"/>
    </row>
    <row r="12" spans="1:19" s="341" customFormat="1" hidden="1" x14ac:dyDescent="0.25">
      <c r="A12" s="52"/>
      <c r="B12" s="180"/>
      <c r="C12" s="180"/>
      <c r="D12" s="180"/>
      <c r="E12" s="180"/>
      <c r="F12" s="180"/>
      <c r="G12" s="180"/>
      <c r="H12" s="180"/>
      <c r="I12" s="180"/>
      <c r="J12" s="28"/>
      <c r="K12" s="29">
        <f>SUM(G59)</f>
        <v>0</v>
      </c>
      <c r="L12" s="30">
        <f>SUM(G59)</f>
        <v>0</v>
      </c>
      <c r="M12" s="30">
        <f>SUM(G59)</f>
        <v>0</v>
      </c>
      <c r="N12" s="30">
        <f>SUM(G59)</f>
        <v>0</v>
      </c>
      <c r="O12" s="31">
        <v>0</v>
      </c>
      <c r="P12" s="32">
        <v>0</v>
      </c>
      <c r="Q12" s="31">
        <v>0</v>
      </c>
      <c r="R12" s="31">
        <v>0</v>
      </c>
      <c r="S12" s="180"/>
    </row>
    <row r="13" spans="1:19" s="341" customFormat="1" hidden="1" x14ac:dyDescent="0.25">
      <c r="A13" s="52"/>
      <c r="B13" s="180"/>
      <c r="C13" s="180"/>
      <c r="D13" s="180"/>
      <c r="E13" s="180"/>
      <c r="F13" s="180"/>
      <c r="G13" s="180"/>
      <c r="H13" s="180"/>
      <c r="I13" s="180"/>
      <c r="J13" s="28" t="s">
        <v>34</v>
      </c>
      <c r="K13" s="29">
        <f>SUM(G60)</f>
        <v>93</v>
      </c>
      <c r="L13" s="30">
        <f>SUM(G60)</f>
        <v>93</v>
      </c>
      <c r="M13" s="51">
        <f>SUM(G60)</f>
        <v>93</v>
      </c>
      <c r="N13" s="51">
        <f>SUM(G60)</f>
        <v>93</v>
      </c>
      <c r="O13" s="31">
        <f>SUM(G60)</f>
        <v>93</v>
      </c>
      <c r="P13" s="32">
        <f>SUM(K13)</f>
        <v>93</v>
      </c>
      <c r="Q13" s="31">
        <f>SUM(G60)</f>
        <v>93</v>
      </c>
      <c r="R13" s="31">
        <f>SUM(G60)</f>
        <v>93</v>
      </c>
      <c r="S13" s="180"/>
    </row>
    <row r="14" spans="1:19" s="341" customFormat="1" hidden="1" x14ac:dyDescent="0.25">
      <c r="A14" s="52"/>
      <c r="B14" s="180"/>
      <c r="C14" s="180"/>
      <c r="D14" s="180"/>
      <c r="E14" s="180"/>
      <c r="F14" s="180"/>
      <c r="G14" s="180"/>
      <c r="H14" s="180"/>
      <c r="I14" s="180"/>
      <c r="J14" s="28" t="s">
        <v>37</v>
      </c>
      <c r="K14" s="29">
        <f>SUM(G61)*F3</f>
        <v>119</v>
      </c>
      <c r="L14" s="30">
        <f>SUM(G61)*F3</f>
        <v>119</v>
      </c>
      <c r="M14" s="30">
        <f>SUM(G61)*F3</f>
        <v>119</v>
      </c>
      <c r="N14" s="30">
        <f>SUM(G61)*F3</f>
        <v>119</v>
      </c>
      <c r="O14" s="31">
        <f>SUM(G61)*F3</f>
        <v>119</v>
      </c>
      <c r="P14" s="32">
        <f>SUM(G61)*F3</f>
        <v>119</v>
      </c>
      <c r="Q14" s="31">
        <f>SUM(G61)*F3</f>
        <v>119</v>
      </c>
      <c r="R14" s="31">
        <f>SUM(G61)*F3</f>
        <v>119</v>
      </c>
      <c r="S14" s="180"/>
    </row>
    <row r="15" spans="1:19" s="341" customFormat="1" hidden="1" x14ac:dyDescent="0.25">
      <c r="A15" s="180"/>
      <c r="B15" s="180"/>
      <c r="C15" s="180"/>
      <c r="D15" s="180"/>
      <c r="E15" s="180"/>
      <c r="F15" s="180"/>
      <c r="G15" s="180"/>
      <c r="H15" s="180"/>
      <c r="I15" s="180"/>
      <c r="J15" s="28" t="s">
        <v>35</v>
      </c>
      <c r="K15" s="295">
        <f>SUM((K7)*0.25)+(K14*0.15)</f>
        <v>317.10000000000002</v>
      </c>
      <c r="L15" s="295">
        <f t="shared" ref="L15:R15" si="0">SUM((L7)*0.25)+(L14*0.15)</f>
        <v>175.78749999999999</v>
      </c>
      <c r="M15" s="295">
        <f t="shared" si="0"/>
        <v>128.68333333333334</v>
      </c>
      <c r="N15" s="295">
        <f t="shared" si="0"/>
        <v>105.13124999999999</v>
      </c>
      <c r="O15" s="514">
        <f t="shared" si="0"/>
        <v>317.10000000000002</v>
      </c>
      <c r="P15" s="514">
        <f t="shared" si="0"/>
        <v>175.78749999999999</v>
      </c>
      <c r="Q15" s="514">
        <f t="shared" si="0"/>
        <v>128.68333333333334</v>
      </c>
      <c r="R15" s="514">
        <f t="shared" si="0"/>
        <v>105.13124999999999</v>
      </c>
      <c r="S15" s="180"/>
    </row>
    <row r="16" spans="1:19" s="341" customFormat="1" ht="18.75" x14ac:dyDescent="0.3">
      <c r="A16" s="180"/>
      <c r="B16" s="181"/>
      <c r="C16" s="180"/>
      <c r="D16" s="180"/>
      <c r="E16" s="180"/>
      <c r="F16" s="180"/>
      <c r="G16" s="180"/>
      <c r="H16" s="180"/>
      <c r="I16" s="180"/>
      <c r="J16" s="296" t="s">
        <v>39</v>
      </c>
      <c r="K16" s="297">
        <f t="shared" ref="K16:R16" si="1">SUM(K7:K15)</f>
        <v>1726.1</v>
      </c>
      <c r="L16" s="297">
        <f t="shared" si="1"/>
        <v>1019.5375</v>
      </c>
      <c r="M16" s="297">
        <f t="shared" si="1"/>
        <v>784.01666666666665</v>
      </c>
      <c r="N16" s="297">
        <f t="shared" si="1"/>
        <v>666.25625000000002</v>
      </c>
      <c r="O16" s="298">
        <f t="shared" si="1"/>
        <v>1726.1</v>
      </c>
      <c r="P16" s="298">
        <f t="shared" si="1"/>
        <v>1019.5375</v>
      </c>
      <c r="Q16" s="298">
        <f t="shared" si="1"/>
        <v>784.01666666666665</v>
      </c>
      <c r="R16" s="298">
        <f t="shared" si="1"/>
        <v>666.25625000000002</v>
      </c>
      <c r="S16" s="180"/>
    </row>
    <row r="17" spans="1:27" s="341" customFormat="1" x14ac:dyDescent="0.25">
      <c r="A17" s="180"/>
      <c r="B17" s="180"/>
      <c r="C17" s="180"/>
      <c r="D17" s="180"/>
      <c r="E17" s="180"/>
      <c r="F17" s="180"/>
      <c r="G17" s="182"/>
      <c r="H17" s="180"/>
      <c r="I17" s="180"/>
      <c r="J17" s="290" t="s">
        <v>40</v>
      </c>
      <c r="K17" s="299">
        <f>SUM(K7+K11+K12)*H4/100</f>
        <v>119.7</v>
      </c>
      <c r="L17" s="299">
        <f>SUM(L7+L11+L12)*H4/100</f>
        <v>63.174999999999997</v>
      </c>
      <c r="M17" s="299">
        <f>SUM(M7+M11+M12)*H4/100</f>
        <v>44.333333333333329</v>
      </c>
      <c r="N17" s="299">
        <f>SUM(N7+N11+N12)*H4/100</f>
        <v>34.912500000000001</v>
      </c>
      <c r="O17" s="300">
        <f>SUM(O7+O11+O12)*H4/100</f>
        <v>119.7</v>
      </c>
      <c r="P17" s="300">
        <f>SUM(P7+P11+P12)*H4/100</f>
        <v>63.174999999999997</v>
      </c>
      <c r="Q17" s="300">
        <f>SUM(Q7+Q11+Q12)*H4/100</f>
        <v>44.333333333333329</v>
      </c>
      <c r="R17" s="300">
        <f>SUM(R7+R11+R12)*H4/100</f>
        <v>34.912500000000001</v>
      </c>
      <c r="S17" s="180"/>
    </row>
    <row r="18" spans="1:27" s="341" customFormat="1" ht="15.75" thickBot="1" x14ac:dyDescent="0.3">
      <c r="A18" s="180"/>
      <c r="B18" s="180"/>
      <c r="C18" s="180"/>
      <c r="D18" s="180"/>
      <c r="E18" s="180"/>
      <c r="F18" s="180"/>
      <c r="G18" s="182"/>
      <c r="H18" s="180"/>
      <c r="I18" s="294"/>
      <c r="J18" s="284" t="s">
        <v>41</v>
      </c>
      <c r="K18" s="301">
        <f t="shared" ref="K18:R18" si="2">SUM(K16-K17)</f>
        <v>1606.3999999999999</v>
      </c>
      <c r="L18" s="301">
        <f t="shared" si="2"/>
        <v>956.36250000000007</v>
      </c>
      <c r="M18" s="301">
        <f t="shared" si="2"/>
        <v>739.68333333333328</v>
      </c>
      <c r="N18" s="301">
        <f t="shared" si="2"/>
        <v>631.34375</v>
      </c>
      <c r="O18" s="300">
        <f t="shared" si="2"/>
        <v>1606.3999999999999</v>
      </c>
      <c r="P18" s="300">
        <f t="shared" si="2"/>
        <v>956.36250000000007</v>
      </c>
      <c r="Q18" s="300">
        <f t="shared" si="2"/>
        <v>739.68333333333328</v>
      </c>
      <c r="R18" s="300">
        <f t="shared" si="2"/>
        <v>631.34375</v>
      </c>
      <c r="S18" s="180"/>
      <c r="AA18" s="493"/>
    </row>
    <row r="19" spans="1:27" ht="21.75" thickBot="1" x14ac:dyDescent="0.4">
      <c r="A19" s="556" t="s">
        <v>42</v>
      </c>
      <c r="B19" s="557"/>
      <c r="C19" s="557"/>
      <c r="D19" s="557"/>
      <c r="E19" s="557"/>
      <c r="F19" s="557"/>
      <c r="G19" s="557"/>
      <c r="H19" s="557"/>
      <c r="I19" s="558"/>
      <c r="J19" s="613" t="s">
        <v>43</v>
      </c>
      <c r="K19" s="594"/>
      <c r="L19" s="594"/>
      <c r="M19" s="594"/>
      <c r="N19" s="594"/>
      <c r="O19" s="594"/>
      <c r="P19" s="594"/>
      <c r="Q19" s="594"/>
      <c r="R19" s="614"/>
      <c r="S19" s="175"/>
    </row>
    <row r="20" spans="1:27" ht="19.5" thickBot="1" x14ac:dyDescent="0.35">
      <c r="A20" s="9"/>
      <c r="B20" s="565" t="s">
        <v>4</v>
      </c>
      <c r="C20" s="615"/>
      <c r="D20" s="615"/>
      <c r="E20" s="566"/>
      <c r="F20" s="600" t="s">
        <v>5</v>
      </c>
      <c r="G20" s="601"/>
      <c r="H20" s="601"/>
      <c r="I20" s="601"/>
      <c r="J20" s="9"/>
      <c r="K20" s="616" t="s">
        <v>4</v>
      </c>
      <c r="L20" s="617"/>
      <c r="M20" s="617"/>
      <c r="N20" s="618"/>
      <c r="O20" s="571" t="s">
        <v>5</v>
      </c>
      <c r="P20" s="605"/>
      <c r="Q20" s="605"/>
      <c r="R20" s="572"/>
      <c r="S20" s="175"/>
    </row>
    <row r="21" spans="1:27" x14ac:dyDescent="0.25">
      <c r="A21" s="67"/>
      <c r="B21" s="68" t="s">
        <v>7</v>
      </c>
      <c r="C21" s="69" t="s">
        <v>8</v>
      </c>
      <c r="D21" s="69" t="s">
        <v>9</v>
      </c>
      <c r="E21" s="69" t="s">
        <v>10</v>
      </c>
      <c r="F21" s="70" t="s">
        <v>7</v>
      </c>
      <c r="G21" s="71" t="s">
        <v>8</v>
      </c>
      <c r="H21" s="71" t="s">
        <v>9</v>
      </c>
      <c r="I21" s="71" t="s">
        <v>10</v>
      </c>
      <c r="J21" s="67"/>
      <c r="K21" s="72" t="s">
        <v>7</v>
      </c>
      <c r="L21" s="73" t="s">
        <v>8</v>
      </c>
      <c r="M21" s="74" t="s">
        <v>9</v>
      </c>
      <c r="N21" s="74" t="s">
        <v>10</v>
      </c>
      <c r="O21" s="75" t="s">
        <v>7</v>
      </c>
      <c r="P21" s="76" t="s">
        <v>8</v>
      </c>
      <c r="Q21" s="77"/>
      <c r="R21" s="193"/>
      <c r="S21" s="175"/>
    </row>
    <row r="22" spans="1:27" x14ac:dyDescent="0.25">
      <c r="A22" s="67"/>
      <c r="B22" s="68" t="s">
        <v>44</v>
      </c>
      <c r="C22" s="78" t="s">
        <v>16</v>
      </c>
      <c r="D22" s="78" t="s">
        <v>16</v>
      </c>
      <c r="E22" s="78" t="s">
        <v>16</v>
      </c>
      <c r="F22" s="79" t="s">
        <v>17</v>
      </c>
      <c r="G22" s="80" t="s">
        <v>17</v>
      </c>
      <c r="H22" s="80" t="s">
        <v>17</v>
      </c>
      <c r="I22" s="80" t="s">
        <v>17</v>
      </c>
      <c r="J22" s="81"/>
      <c r="K22" s="82" t="s">
        <v>15</v>
      </c>
      <c r="L22" s="83" t="s">
        <v>16</v>
      </c>
      <c r="M22" s="83" t="s">
        <v>16</v>
      </c>
      <c r="N22" s="82" t="s">
        <v>16</v>
      </c>
      <c r="O22" s="84" t="s">
        <v>17</v>
      </c>
      <c r="P22" s="85" t="s">
        <v>17</v>
      </c>
      <c r="Q22" s="86"/>
      <c r="R22" s="104"/>
      <c r="S22" s="175"/>
    </row>
    <row r="23" spans="1:27" hidden="1" x14ac:dyDescent="0.25">
      <c r="A23" s="28" t="s">
        <v>20</v>
      </c>
      <c r="B23" s="87">
        <f>SUM(F55*F3)</f>
        <v>1529.5</v>
      </c>
      <c r="C23" s="88">
        <f>SUM((G55)*F3)/2</f>
        <v>798</v>
      </c>
      <c r="D23" s="88">
        <f>SUM((H55)*F3)/3</f>
        <v>554.16666666666663</v>
      </c>
      <c r="E23" s="88">
        <f>SUM((I55)*F3)/4</f>
        <v>432.25</v>
      </c>
      <c r="F23" s="89">
        <f>SUM((F55)*F3)</f>
        <v>1529.5</v>
      </c>
      <c r="G23" s="90">
        <f>SUM((G55)*F3)/2</f>
        <v>798</v>
      </c>
      <c r="H23" s="90">
        <f>SUM((H55)*F3)/3</f>
        <v>554.16666666666663</v>
      </c>
      <c r="I23" s="90">
        <f>SUM((I55)*F3)/4</f>
        <v>432.25</v>
      </c>
      <c r="J23" s="28" t="s">
        <v>20</v>
      </c>
      <c r="K23" s="91">
        <f>SUM((F56)*F3)</f>
        <v>1695.75</v>
      </c>
      <c r="L23" s="92">
        <f>SUM((G56)*F3)/2</f>
        <v>881.125</v>
      </c>
      <c r="M23" s="92">
        <f>SUM((H56)*F3)/3</f>
        <v>609.58333333333337</v>
      </c>
      <c r="N23" s="91">
        <f>SUM((I56)*F3)/4</f>
        <v>473.8125</v>
      </c>
      <c r="O23" s="93">
        <f>SUM(F56*F3)</f>
        <v>1695.75</v>
      </c>
      <c r="P23" s="94">
        <f>SUM((G56)*F3)/2</f>
        <v>881.125</v>
      </c>
      <c r="Q23" s="95">
        <f>SUM((H56)*F3)/3</f>
        <v>609.58333333333337</v>
      </c>
      <c r="R23" s="94">
        <f>SUM((I56)*F3)/4</f>
        <v>473.8125</v>
      </c>
      <c r="S23" s="175"/>
    </row>
    <row r="24" spans="1:27" hidden="1" x14ac:dyDescent="0.25">
      <c r="A24" s="28"/>
      <c r="B24" s="97"/>
      <c r="C24" s="98"/>
      <c r="D24" s="98"/>
      <c r="E24" s="98"/>
      <c r="F24" s="99"/>
      <c r="G24" s="100"/>
      <c r="H24" s="100"/>
      <c r="I24" s="100"/>
      <c r="J24" s="28"/>
      <c r="K24" s="101"/>
      <c r="L24" s="102"/>
      <c r="M24" s="102"/>
      <c r="N24" s="101"/>
      <c r="O24" s="103"/>
      <c r="P24" s="104"/>
      <c r="Q24" s="95"/>
      <c r="R24" s="94"/>
      <c r="S24" s="175"/>
    </row>
    <row r="25" spans="1:27" hidden="1" x14ac:dyDescent="0.25">
      <c r="A25" s="28"/>
      <c r="B25" s="68"/>
      <c r="C25" s="98"/>
      <c r="D25" s="98"/>
      <c r="E25" s="98"/>
      <c r="F25" s="105"/>
      <c r="G25" s="106"/>
      <c r="H25" s="106"/>
      <c r="I25" s="106"/>
      <c r="J25" s="28"/>
      <c r="K25" s="107"/>
      <c r="L25" s="108"/>
      <c r="M25" s="108"/>
      <c r="N25" s="107"/>
      <c r="O25" s="109"/>
      <c r="P25" s="110"/>
      <c r="Q25" s="95"/>
      <c r="R25" s="94"/>
      <c r="S25" s="175"/>
    </row>
    <row r="26" spans="1:27" hidden="1" x14ac:dyDescent="0.25">
      <c r="A26" s="28"/>
      <c r="B26" s="97"/>
      <c r="C26" s="98"/>
      <c r="D26" s="98"/>
      <c r="E26" s="98"/>
      <c r="F26" s="99"/>
      <c r="G26" s="100"/>
      <c r="H26" s="100"/>
      <c r="I26" s="100"/>
      <c r="J26" s="28"/>
      <c r="K26" s="101"/>
      <c r="L26" s="102"/>
      <c r="M26" s="102"/>
      <c r="N26" s="101"/>
      <c r="O26" s="103"/>
      <c r="P26" s="104"/>
      <c r="Q26" s="95"/>
      <c r="R26" s="94"/>
      <c r="S26" s="175"/>
    </row>
    <row r="27" spans="1:27" hidden="1" x14ac:dyDescent="0.25">
      <c r="A27" s="28" t="s">
        <v>15</v>
      </c>
      <c r="B27" s="87">
        <f>SUM(G58*F4)</f>
        <v>0</v>
      </c>
      <c r="C27" s="88">
        <f>SUM(G58*F4)</f>
        <v>0</v>
      </c>
      <c r="D27" s="88">
        <f>SUM(G58*F4)</f>
        <v>0</v>
      </c>
      <c r="E27" s="88">
        <f>SUM(G58*F4)</f>
        <v>0</v>
      </c>
      <c r="F27" s="89">
        <v>0</v>
      </c>
      <c r="G27" s="90">
        <v>0</v>
      </c>
      <c r="H27" s="90">
        <v>0</v>
      </c>
      <c r="I27" s="90">
        <v>0</v>
      </c>
      <c r="J27" s="28" t="s">
        <v>15</v>
      </c>
      <c r="K27" s="91">
        <f>SUM(G58*F4)</f>
        <v>0</v>
      </c>
      <c r="L27" s="92">
        <f>SUM(G58*F4)</f>
        <v>0</v>
      </c>
      <c r="M27" s="92">
        <f>SUM(G58*F4)</f>
        <v>0</v>
      </c>
      <c r="N27" s="91">
        <f>SUM(G58*F4)</f>
        <v>0</v>
      </c>
      <c r="O27" s="93">
        <v>0</v>
      </c>
      <c r="P27" s="94">
        <v>0</v>
      </c>
      <c r="Q27" s="94">
        <v>0</v>
      </c>
      <c r="R27" s="94">
        <v>0</v>
      </c>
      <c r="S27" s="175"/>
    </row>
    <row r="28" spans="1:27" hidden="1" x14ac:dyDescent="0.25">
      <c r="A28" s="28"/>
      <c r="B28" s="87">
        <f>SUM(G59)</f>
        <v>0</v>
      </c>
      <c r="C28" s="88">
        <f>SUM(G59)</f>
        <v>0</v>
      </c>
      <c r="D28" s="88">
        <f>SUM(G59)</f>
        <v>0</v>
      </c>
      <c r="E28" s="88">
        <f>SUM(G59)</f>
        <v>0</v>
      </c>
      <c r="F28" s="89">
        <v>0</v>
      </c>
      <c r="G28" s="90">
        <v>0</v>
      </c>
      <c r="H28" s="90">
        <v>0</v>
      </c>
      <c r="I28" s="90">
        <v>0</v>
      </c>
      <c r="J28" s="28"/>
      <c r="K28" s="91">
        <f>SUM(G59)</f>
        <v>0</v>
      </c>
      <c r="L28" s="92">
        <f>SUM(G59)</f>
        <v>0</v>
      </c>
      <c r="M28" s="92">
        <f>SUM(G59)</f>
        <v>0</v>
      </c>
      <c r="N28" s="91">
        <f>SUM(G59)</f>
        <v>0</v>
      </c>
      <c r="O28" s="93">
        <v>0</v>
      </c>
      <c r="P28" s="94">
        <v>0</v>
      </c>
      <c r="Q28" s="94">
        <v>0</v>
      </c>
      <c r="R28" s="94">
        <v>0</v>
      </c>
      <c r="S28" s="175"/>
    </row>
    <row r="29" spans="1:27" hidden="1" x14ac:dyDescent="0.25">
      <c r="A29" s="28" t="s">
        <v>34</v>
      </c>
      <c r="B29" s="87">
        <f>SUM(G60)</f>
        <v>93</v>
      </c>
      <c r="C29" s="88">
        <f>SUM(G60)</f>
        <v>93</v>
      </c>
      <c r="D29" s="111">
        <f>SUM(G60)</f>
        <v>93</v>
      </c>
      <c r="E29" s="111">
        <f>SUM(G60)</f>
        <v>93</v>
      </c>
      <c r="F29" s="89">
        <f>SUM(G60)</f>
        <v>93</v>
      </c>
      <c r="G29" s="90">
        <f>SUM(B29)</f>
        <v>93</v>
      </c>
      <c r="H29" s="90">
        <f>SUM(C29)</f>
        <v>93</v>
      </c>
      <c r="I29" s="90">
        <f>SUM(D29)</f>
        <v>93</v>
      </c>
      <c r="J29" s="28" t="s">
        <v>34</v>
      </c>
      <c r="K29" s="91">
        <f>SUM(G60)</f>
        <v>93</v>
      </c>
      <c r="L29" s="92">
        <f>SUM(G60)</f>
        <v>93</v>
      </c>
      <c r="M29" s="112">
        <f>SUM(G60)</f>
        <v>93</v>
      </c>
      <c r="N29" s="113">
        <f>SUM(G60)</f>
        <v>93</v>
      </c>
      <c r="O29" s="93">
        <f>SUM(G60)</f>
        <v>93</v>
      </c>
      <c r="P29" s="94">
        <f>SUM(G60)</f>
        <v>93</v>
      </c>
      <c r="Q29" s="114">
        <f>SUM(G60)</f>
        <v>93</v>
      </c>
      <c r="R29" s="114">
        <f>SUM(G60)</f>
        <v>93</v>
      </c>
      <c r="S29" s="175"/>
    </row>
    <row r="30" spans="1:27" hidden="1" x14ac:dyDescent="0.25">
      <c r="A30" s="28" t="s">
        <v>37</v>
      </c>
      <c r="B30" s="87">
        <f>SUM(G61)*F3</f>
        <v>119</v>
      </c>
      <c r="C30" s="88">
        <f>SUM(G61)*F3</f>
        <v>119</v>
      </c>
      <c r="D30" s="88">
        <f>SUM(G61)*F3</f>
        <v>119</v>
      </c>
      <c r="E30" s="88">
        <f>SUM(G61)*F3</f>
        <v>119</v>
      </c>
      <c r="F30" s="89">
        <f>SUM(G61)*F3</f>
        <v>119</v>
      </c>
      <c r="G30" s="90">
        <f>SUM(G61)*F3</f>
        <v>119</v>
      </c>
      <c r="H30" s="90">
        <f>SUM(G61)*F3</f>
        <v>119</v>
      </c>
      <c r="I30" s="90">
        <f>SUM(G61)*F3</f>
        <v>119</v>
      </c>
      <c r="J30" s="28" t="s">
        <v>37</v>
      </c>
      <c r="K30" s="91">
        <f>SUM(G61)*F3</f>
        <v>119</v>
      </c>
      <c r="L30" s="92">
        <f>SUM(G61)*F3</f>
        <v>119</v>
      </c>
      <c r="M30" s="92">
        <f>SUM(G61)*F3</f>
        <v>119</v>
      </c>
      <c r="N30" s="91">
        <f>SUM(G61)*F3</f>
        <v>119</v>
      </c>
      <c r="O30" s="116">
        <f>SUM(G61)*F3</f>
        <v>119</v>
      </c>
      <c r="P30" s="94">
        <f>SUM(G61)*F3</f>
        <v>119</v>
      </c>
      <c r="Q30" s="95">
        <f>SUM(G61)*F3</f>
        <v>119</v>
      </c>
      <c r="R30" s="95">
        <f>SUM(G61)*F3</f>
        <v>119</v>
      </c>
      <c r="S30" s="175"/>
    </row>
    <row r="31" spans="1:27" hidden="1" x14ac:dyDescent="0.25">
      <c r="A31" s="28" t="s">
        <v>35</v>
      </c>
      <c r="B31" s="117">
        <f>SUM((B23)*0.25)+(B30*0.15)</f>
        <v>400.22500000000002</v>
      </c>
      <c r="C31" s="117">
        <f t="shared" ref="C31:R31" si="3">SUM((C23)*0.25)+(C30*0.15)</f>
        <v>217.35</v>
      </c>
      <c r="D31" s="117">
        <f t="shared" si="3"/>
        <v>156.39166666666665</v>
      </c>
      <c r="E31" s="117">
        <f t="shared" si="3"/>
        <v>125.91249999999999</v>
      </c>
      <c r="F31" s="118">
        <f t="shared" si="3"/>
        <v>400.22500000000002</v>
      </c>
      <c r="G31" s="118">
        <f t="shared" si="3"/>
        <v>217.35</v>
      </c>
      <c r="H31" s="118">
        <f t="shared" si="3"/>
        <v>156.39166666666665</v>
      </c>
      <c r="I31" s="118">
        <f t="shared" si="3"/>
        <v>125.91249999999999</v>
      </c>
      <c r="J31" s="28" t="s">
        <v>35</v>
      </c>
      <c r="K31" s="515">
        <f t="shared" si="3"/>
        <v>441.78750000000002</v>
      </c>
      <c r="L31" s="515">
        <f t="shared" si="3"/>
        <v>238.13124999999999</v>
      </c>
      <c r="M31" s="515">
        <f t="shared" si="3"/>
        <v>170.24583333333334</v>
      </c>
      <c r="N31" s="515">
        <f t="shared" si="3"/>
        <v>136.30312499999999</v>
      </c>
      <c r="O31" s="516">
        <f t="shared" si="3"/>
        <v>441.78750000000002</v>
      </c>
      <c r="P31" s="516">
        <f t="shared" si="3"/>
        <v>238.13124999999999</v>
      </c>
      <c r="Q31" s="516">
        <f t="shared" si="3"/>
        <v>170.24583333333334</v>
      </c>
      <c r="R31" s="516">
        <f t="shared" si="3"/>
        <v>136.30312499999999</v>
      </c>
      <c r="S31" s="175"/>
    </row>
    <row r="32" spans="1:27" ht="18.75" x14ac:dyDescent="0.3">
      <c r="A32" s="284" t="s">
        <v>39</v>
      </c>
      <c r="B32" s="273">
        <f t="shared" ref="B32:I32" si="4">SUM(B23:B31)</f>
        <v>2141.7249999999999</v>
      </c>
      <c r="C32" s="274">
        <f t="shared" si="4"/>
        <v>1227.3499999999999</v>
      </c>
      <c r="D32" s="274">
        <f t="shared" si="4"/>
        <v>922.55833333333328</v>
      </c>
      <c r="E32" s="274">
        <f t="shared" si="4"/>
        <v>770.16250000000002</v>
      </c>
      <c r="F32" s="275">
        <f t="shared" si="4"/>
        <v>2141.7249999999999</v>
      </c>
      <c r="G32" s="275">
        <f t="shared" si="4"/>
        <v>1227.3499999999999</v>
      </c>
      <c r="H32" s="275">
        <f t="shared" si="4"/>
        <v>922.55833333333328</v>
      </c>
      <c r="I32" s="275">
        <f t="shared" si="4"/>
        <v>770.16250000000002</v>
      </c>
      <c r="J32" s="281" t="s">
        <v>39</v>
      </c>
      <c r="K32" s="282">
        <f t="shared" ref="K32:R32" si="5">SUM(K23:K31)</f>
        <v>2349.5374999999999</v>
      </c>
      <c r="L32" s="282">
        <f t="shared" si="5"/>
        <v>1331.2562499999999</v>
      </c>
      <c r="M32" s="282">
        <f t="shared" si="5"/>
        <v>991.82916666666665</v>
      </c>
      <c r="N32" s="282">
        <f t="shared" si="5"/>
        <v>822.11562500000002</v>
      </c>
      <c r="O32" s="283">
        <f t="shared" si="5"/>
        <v>2349.5374999999999</v>
      </c>
      <c r="P32" s="283">
        <f t="shared" si="5"/>
        <v>1331.2562499999999</v>
      </c>
      <c r="Q32" s="283">
        <f t="shared" si="5"/>
        <v>991.82916666666665</v>
      </c>
      <c r="R32" s="283">
        <f t="shared" si="5"/>
        <v>822.11562500000002</v>
      </c>
      <c r="S32" s="175"/>
    </row>
    <row r="33" spans="1:19" x14ac:dyDescent="0.25">
      <c r="A33" s="290" t="s">
        <v>40</v>
      </c>
      <c r="B33" s="276">
        <f>SUM(B23+B27+B28)*H4/100</f>
        <v>152.94999999999999</v>
      </c>
      <c r="C33" s="277">
        <f>SUM(C23+C27+C28)*H4/100</f>
        <v>79.8</v>
      </c>
      <c r="D33" s="277">
        <f>SUM(D23+D27+D28)*H4/100</f>
        <v>55.416666666666657</v>
      </c>
      <c r="E33" s="277">
        <f>SUM(E23+E27+E28)*H4/100</f>
        <v>43.225000000000001</v>
      </c>
      <c r="F33" s="278">
        <f>SUM(F23+F27+F28)*H4/100</f>
        <v>152.94999999999999</v>
      </c>
      <c r="G33" s="278">
        <f>SUM(G23+G27+G28)*H4/100</f>
        <v>79.8</v>
      </c>
      <c r="H33" s="278">
        <f>SUM(H23+H27+H28)*H4/100</f>
        <v>55.416666666666657</v>
      </c>
      <c r="I33" s="278">
        <f>SUM(I23+I27+I28)*H4/100</f>
        <v>43.225000000000001</v>
      </c>
      <c r="J33" s="284" t="s">
        <v>40</v>
      </c>
      <c r="K33" s="285">
        <f>SUM(K23+K27+K28)*H4/100</f>
        <v>169.57499999999999</v>
      </c>
      <c r="L33" s="285">
        <f>SUM(L23+L27+L28)*H4/100</f>
        <v>88.112499999999997</v>
      </c>
      <c r="M33" s="285">
        <f>SUM(M23+M27+M28)*H4/100</f>
        <v>60.958333333333343</v>
      </c>
      <c r="N33" s="285">
        <f>SUM(N23+N27+N28)*H4/100</f>
        <v>47.381250000000001</v>
      </c>
      <c r="O33" s="286">
        <f>SUM(O23+O27+O28)*H4/100</f>
        <v>169.57499999999999</v>
      </c>
      <c r="P33" s="286">
        <f>SUM(P23+P27+P28)*H4/100</f>
        <v>88.112499999999997</v>
      </c>
      <c r="Q33" s="286">
        <f>SUM(Q23+Q27+Q28)*H4/100</f>
        <v>60.958333333333343</v>
      </c>
      <c r="R33" s="286">
        <f>SUM(R23+R27+R28)*H4/100</f>
        <v>47.381250000000001</v>
      </c>
      <c r="S33" s="175"/>
    </row>
    <row r="34" spans="1:19" x14ac:dyDescent="0.25">
      <c r="A34" s="284" t="s">
        <v>41</v>
      </c>
      <c r="B34" s="279">
        <f t="shared" ref="B34:I34" si="6">SUM(B32-B33)</f>
        <v>1988.7749999999999</v>
      </c>
      <c r="C34" s="280">
        <f t="shared" si="6"/>
        <v>1147.55</v>
      </c>
      <c r="D34" s="280">
        <f t="shared" si="6"/>
        <v>867.14166666666665</v>
      </c>
      <c r="E34" s="280">
        <f t="shared" si="6"/>
        <v>726.9375</v>
      </c>
      <c r="F34" s="278">
        <f t="shared" si="6"/>
        <v>1988.7749999999999</v>
      </c>
      <c r="G34" s="278">
        <f t="shared" si="6"/>
        <v>1147.55</v>
      </c>
      <c r="H34" s="278">
        <f t="shared" si="6"/>
        <v>867.14166666666665</v>
      </c>
      <c r="I34" s="278">
        <f t="shared" si="6"/>
        <v>726.9375</v>
      </c>
      <c r="J34" s="284" t="s">
        <v>41</v>
      </c>
      <c r="K34" s="287">
        <f t="shared" ref="K34:R34" si="7">SUM(K32-K33)</f>
        <v>2179.9625000000001</v>
      </c>
      <c r="L34" s="287">
        <f t="shared" si="7"/>
        <v>1243.14375</v>
      </c>
      <c r="M34" s="287">
        <f t="shared" si="7"/>
        <v>930.87083333333328</v>
      </c>
      <c r="N34" s="287">
        <f t="shared" si="7"/>
        <v>774.734375</v>
      </c>
      <c r="O34" s="286">
        <f t="shared" si="7"/>
        <v>2179.9625000000001</v>
      </c>
      <c r="P34" s="286">
        <f t="shared" si="7"/>
        <v>1243.14375</v>
      </c>
      <c r="Q34" s="286">
        <f t="shared" si="7"/>
        <v>930.87083333333328</v>
      </c>
      <c r="R34" s="286">
        <f t="shared" si="7"/>
        <v>774.734375</v>
      </c>
      <c r="S34" s="175"/>
    </row>
    <row r="35" spans="1:19" ht="21.75" thickBot="1" x14ac:dyDescent="0.4">
      <c r="A35" s="180"/>
      <c r="B35" s="180"/>
      <c r="C35" s="180"/>
      <c r="D35" s="180"/>
      <c r="E35" s="180"/>
      <c r="F35" s="180"/>
      <c r="G35" s="180"/>
      <c r="H35" s="180"/>
      <c r="I35" s="180"/>
      <c r="J35" s="610" t="s">
        <v>45</v>
      </c>
      <c r="K35" s="607"/>
      <c r="L35" s="607"/>
      <c r="M35" s="607"/>
      <c r="N35" s="607"/>
      <c r="O35" s="607"/>
      <c r="P35" s="607"/>
      <c r="Q35" s="607"/>
      <c r="R35" s="608"/>
      <c r="S35" s="175"/>
    </row>
    <row r="36" spans="1:19" ht="19.5" thickBot="1" x14ac:dyDescent="0.35">
      <c r="A36" s="180"/>
      <c r="B36" s="180"/>
      <c r="C36" s="180"/>
      <c r="D36" s="180"/>
      <c r="E36" s="180"/>
      <c r="F36" s="180"/>
      <c r="G36" s="180"/>
      <c r="H36" s="180"/>
      <c r="I36" s="180"/>
      <c r="J36" s="194"/>
      <c r="K36" s="543" t="s">
        <v>4</v>
      </c>
      <c r="L36" s="595"/>
      <c r="M36" s="595"/>
      <c r="N36" s="544"/>
      <c r="O36" s="545" t="s">
        <v>5</v>
      </c>
      <c r="P36" s="546"/>
      <c r="Q36" s="546"/>
      <c r="R36" s="596"/>
      <c r="S36" s="175"/>
    </row>
    <row r="37" spans="1:19" s="341" customFormat="1" x14ac:dyDescent="0.25">
      <c r="A37" s="180"/>
      <c r="B37" s="180"/>
      <c r="C37" s="180"/>
      <c r="D37" s="180"/>
      <c r="E37" s="180"/>
      <c r="F37" s="180"/>
      <c r="G37" s="180"/>
      <c r="H37" s="180"/>
      <c r="I37" s="180"/>
      <c r="J37" s="195"/>
      <c r="K37" s="130" t="s">
        <v>7</v>
      </c>
      <c r="L37" s="131" t="s">
        <v>8</v>
      </c>
      <c r="M37" s="131" t="s">
        <v>9</v>
      </c>
      <c r="N37" s="131" t="s">
        <v>10</v>
      </c>
      <c r="O37" s="132" t="s">
        <v>7</v>
      </c>
      <c r="P37" s="133" t="s">
        <v>8</v>
      </c>
      <c r="Q37" s="133" t="s">
        <v>9</v>
      </c>
      <c r="R37" s="133" t="s">
        <v>10</v>
      </c>
      <c r="S37" s="180"/>
    </row>
    <row r="38" spans="1:19" s="341" customFormat="1" ht="21" customHeight="1" x14ac:dyDescent="0.25">
      <c r="A38" s="180"/>
      <c r="B38" s="180"/>
      <c r="C38" s="180"/>
      <c r="D38" s="180"/>
      <c r="E38" s="180"/>
      <c r="F38" s="180"/>
      <c r="G38" s="180"/>
      <c r="H38" s="180"/>
      <c r="I38" s="180"/>
      <c r="J38" s="196"/>
      <c r="K38" s="135" t="s">
        <v>15</v>
      </c>
      <c r="L38" s="136" t="s">
        <v>16</v>
      </c>
      <c r="M38" s="136" t="s">
        <v>16</v>
      </c>
      <c r="N38" s="136" t="s">
        <v>16</v>
      </c>
      <c r="O38" s="137" t="s">
        <v>17</v>
      </c>
      <c r="P38" s="138" t="s">
        <v>17</v>
      </c>
      <c r="Q38" s="138" t="s">
        <v>17</v>
      </c>
      <c r="R38" s="138" t="s">
        <v>17</v>
      </c>
      <c r="S38" s="180"/>
    </row>
    <row r="39" spans="1:19" s="341" customFormat="1" hidden="1" x14ac:dyDescent="0.25">
      <c r="A39" s="180"/>
      <c r="B39" s="180"/>
      <c r="C39" s="180"/>
      <c r="D39" s="180"/>
      <c r="E39" s="180"/>
      <c r="F39" s="180"/>
      <c r="G39" s="180"/>
      <c r="H39" s="180"/>
      <c r="I39" s="180"/>
      <c r="J39" s="197" t="s">
        <v>20</v>
      </c>
      <c r="K39" s="140">
        <f>SUM((F57)*F3)</f>
        <v>1862</v>
      </c>
      <c r="L39" s="141">
        <f>SUM((G57)*F3)/2</f>
        <v>964.25</v>
      </c>
      <c r="M39" s="141">
        <f>SUM((H57)*F3)/3</f>
        <v>665</v>
      </c>
      <c r="N39" s="141">
        <f>SUM((I57)*F3)/4</f>
        <v>515.375</v>
      </c>
      <c r="O39" s="142">
        <f>SUM((F57)*F3)</f>
        <v>1862</v>
      </c>
      <c r="P39" s="143">
        <f>SUM((G57)*F3)/2</f>
        <v>964.25</v>
      </c>
      <c r="Q39" s="143">
        <f>SUM((H57)*F3)/3</f>
        <v>665</v>
      </c>
      <c r="R39" s="143">
        <f>SUM((I57)*F3)/4</f>
        <v>515.375</v>
      </c>
      <c r="S39" s="180"/>
    </row>
    <row r="40" spans="1:19" s="341" customFormat="1" hidden="1" x14ac:dyDescent="0.25">
      <c r="A40" s="180"/>
      <c r="B40" s="180"/>
      <c r="C40" s="180"/>
      <c r="D40" s="180"/>
      <c r="E40" s="180"/>
      <c r="F40" s="180"/>
      <c r="G40" s="180"/>
      <c r="H40" s="180"/>
      <c r="I40" s="180"/>
      <c r="J40" s="197"/>
      <c r="K40" s="144"/>
      <c r="L40" s="145"/>
      <c r="M40" s="145"/>
      <c r="N40" s="145"/>
      <c r="O40" s="146"/>
      <c r="P40" s="147"/>
      <c r="Q40" s="147"/>
      <c r="R40" s="147"/>
      <c r="S40" s="180"/>
    </row>
    <row r="41" spans="1:19" s="341" customFormat="1" hidden="1" x14ac:dyDescent="0.25">
      <c r="A41" s="180"/>
      <c r="B41" s="180"/>
      <c r="C41" s="180"/>
      <c r="D41" s="180"/>
      <c r="E41" s="180"/>
      <c r="F41" s="180"/>
      <c r="G41" s="180"/>
      <c r="H41" s="180"/>
      <c r="I41" s="180"/>
      <c r="J41" s="197"/>
      <c r="K41" s="144"/>
      <c r="L41" s="148"/>
      <c r="M41" s="148"/>
      <c r="N41" s="148"/>
      <c r="O41" s="146"/>
      <c r="P41" s="149"/>
      <c r="Q41" s="149"/>
      <c r="R41" s="149"/>
      <c r="S41" s="180"/>
    </row>
    <row r="42" spans="1:19" s="341" customFormat="1" hidden="1" x14ac:dyDescent="0.25">
      <c r="A42" s="180"/>
      <c r="B42" s="180"/>
      <c r="C42" s="180"/>
      <c r="D42" s="180"/>
      <c r="E42" s="180"/>
      <c r="F42" s="180"/>
      <c r="G42" s="180"/>
      <c r="H42" s="180"/>
      <c r="I42" s="180"/>
      <c r="J42" s="197"/>
      <c r="K42" s="144"/>
      <c r="L42" s="145"/>
      <c r="M42" s="145"/>
      <c r="N42" s="145"/>
      <c r="O42" s="146"/>
      <c r="P42" s="147"/>
      <c r="Q42" s="147"/>
      <c r="R42" s="147"/>
      <c r="S42" s="180"/>
    </row>
    <row r="43" spans="1:19" s="341" customFormat="1" hidden="1" x14ac:dyDescent="0.25">
      <c r="A43" s="180"/>
      <c r="B43" s="180"/>
      <c r="C43" s="180"/>
      <c r="D43" s="180"/>
      <c r="E43" s="180"/>
      <c r="F43" s="180"/>
      <c r="G43" s="180"/>
      <c r="H43" s="180"/>
      <c r="I43" s="180"/>
      <c r="J43" s="197" t="s">
        <v>15</v>
      </c>
      <c r="K43" s="140">
        <f>SUM(G58*F4)</f>
        <v>0</v>
      </c>
      <c r="L43" s="141">
        <f>SUM(G58*F4)</f>
        <v>0</v>
      </c>
      <c r="M43" s="141">
        <f>SUM(G58*F4)</f>
        <v>0</v>
      </c>
      <c r="N43" s="141">
        <f>SUM(G58*F4)</f>
        <v>0</v>
      </c>
      <c r="O43" s="142">
        <v>0</v>
      </c>
      <c r="P43" s="143">
        <v>0</v>
      </c>
      <c r="Q43" s="143">
        <v>0</v>
      </c>
      <c r="R43" s="143">
        <v>0</v>
      </c>
      <c r="S43" s="180"/>
    </row>
    <row r="44" spans="1:19" s="341" customFormat="1" hidden="1" x14ac:dyDescent="0.25">
      <c r="A44" s="180"/>
      <c r="B44" s="180"/>
      <c r="C44" s="180"/>
      <c r="D44" s="180"/>
      <c r="E44" s="180"/>
      <c r="F44" s="180"/>
      <c r="G44" s="180"/>
      <c r="H44" s="180"/>
      <c r="I44" s="180"/>
      <c r="J44" s="197"/>
      <c r="K44" s="140">
        <f>SUM(G59)</f>
        <v>0</v>
      </c>
      <c r="L44" s="141">
        <f>SUM(G59)</f>
        <v>0</v>
      </c>
      <c r="M44" s="141">
        <f>SUM(G59)</f>
        <v>0</v>
      </c>
      <c r="N44" s="141">
        <f>SUM(G59)</f>
        <v>0</v>
      </c>
      <c r="O44" s="142">
        <f>SUM(I59)</f>
        <v>0</v>
      </c>
      <c r="P44" s="143">
        <v>0</v>
      </c>
      <c r="Q44" s="143">
        <v>0</v>
      </c>
      <c r="R44" s="143">
        <v>0</v>
      </c>
      <c r="S44" s="180"/>
    </row>
    <row r="45" spans="1:19" s="341" customFormat="1" hidden="1" x14ac:dyDescent="0.25">
      <c r="A45" s="180"/>
      <c r="B45" s="180"/>
      <c r="C45" s="180"/>
      <c r="D45" s="180"/>
      <c r="E45" s="180"/>
      <c r="F45" s="180"/>
      <c r="G45" s="180"/>
      <c r="H45" s="180"/>
      <c r="I45" s="180"/>
      <c r="J45" s="197" t="s">
        <v>34</v>
      </c>
      <c r="K45" s="140">
        <f>SUM(G60)</f>
        <v>93</v>
      </c>
      <c r="L45" s="141">
        <f>SUM(G60)</f>
        <v>93</v>
      </c>
      <c r="M45" s="150">
        <f>SUM(G60)</f>
        <v>93</v>
      </c>
      <c r="N45" s="150">
        <f>SUM(G60)</f>
        <v>93</v>
      </c>
      <c r="O45" s="142">
        <f>SUM(G60)</f>
        <v>93</v>
      </c>
      <c r="P45" s="143">
        <f>SUM(G60)</f>
        <v>93</v>
      </c>
      <c r="Q45" s="151">
        <f>SUM(G60)</f>
        <v>93</v>
      </c>
      <c r="R45" s="151">
        <f>SUM(G60)</f>
        <v>93</v>
      </c>
      <c r="S45" s="180"/>
    </row>
    <row r="46" spans="1:19" s="341" customFormat="1" hidden="1" x14ac:dyDescent="0.25">
      <c r="A46" s="180"/>
      <c r="B46" s="180"/>
      <c r="C46" s="180"/>
      <c r="D46" s="180"/>
      <c r="E46" s="180"/>
      <c r="F46" s="180"/>
      <c r="G46" s="180"/>
      <c r="H46" s="180"/>
      <c r="I46" s="180"/>
      <c r="J46" s="197" t="s">
        <v>46</v>
      </c>
      <c r="K46" s="140">
        <f>SUM(G61)*F3</f>
        <v>119</v>
      </c>
      <c r="L46" s="141">
        <f>SUM(G61)*F3</f>
        <v>119</v>
      </c>
      <c r="M46" s="141">
        <f>SUM(G61)*F3</f>
        <v>119</v>
      </c>
      <c r="N46" s="141">
        <f>SUM(G61)*F3</f>
        <v>119</v>
      </c>
      <c r="O46" s="142">
        <f>SUM(G61)*F3</f>
        <v>119</v>
      </c>
      <c r="P46" s="143">
        <f>SUM(G61)*F3</f>
        <v>119</v>
      </c>
      <c r="Q46" s="143">
        <f>SUM(G61)*F3</f>
        <v>119</v>
      </c>
      <c r="R46" s="143">
        <f>SUM(G61)*F3</f>
        <v>119</v>
      </c>
      <c r="S46" s="180"/>
    </row>
    <row r="47" spans="1:19" s="341" customFormat="1" hidden="1" x14ac:dyDescent="0.25">
      <c r="A47" s="180"/>
      <c r="B47" s="180"/>
      <c r="C47" s="180"/>
      <c r="D47" s="180"/>
      <c r="E47" s="180"/>
      <c r="F47" s="180"/>
      <c r="G47" s="180"/>
      <c r="H47" s="180"/>
      <c r="I47" s="180"/>
      <c r="J47" s="197" t="s">
        <v>35</v>
      </c>
      <c r="K47" s="152">
        <f>SUM((K39)*0.25)+(K46*0.15)</f>
        <v>483.35</v>
      </c>
      <c r="L47" s="152">
        <f t="shared" ref="L47:R47" si="8">SUM((L39)*0.25)+(L46*0.15)</f>
        <v>258.91250000000002</v>
      </c>
      <c r="M47" s="152">
        <f t="shared" si="8"/>
        <v>184.1</v>
      </c>
      <c r="N47" s="152">
        <f t="shared" si="8"/>
        <v>146.69374999999999</v>
      </c>
      <c r="O47" s="153">
        <f t="shared" si="8"/>
        <v>483.35</v>
      </c>
      <c r="P47" s="153">
        <f t="shared" si="8"/>
        <v>258.91250000000002</v>
      </c>
      <c r="Q47" s="153">
        <f t="shared" si="8"/>
        <v>184.1</v>
      </c>
      <c r="R47" s="153">
        <f t="shared" si="8"/>
        <v>146.69374999999999</v>
      </c>
      <c r="S47" s="180"/>
    </row>
    <row r="48" spans="1:19" s="341" customFormat="1" ht="18.75" x14ac:dyDescent="0.3">
      <c r="A48" s="180"/>
      <c r="B48" s="180"/>
      <c r="C48" s="180"/>
      <c r="D48" s="180"/>
      <c r="E48" s="180"/>
      <c r="F48" s="180"/>
      <c r="G48" s="180"/>
      <c r="H48" s="180"/>
      <c r="I48" s="180"/>
      <c r="J48" s="281" t="s">
        <v>39</v>
      </c>
      <c r="K48" s="288">
        <f t="shared" ref="K48:R48" si="9">SUM(K39:K47)</f>
        <v>2557.35</v>
      </c>
      <c r="L48" s="288">
        <f t="shared" si="9"/>
        <v>1435.1624999999999</v>
      </c>
      <c r="M48" s="288">
        <f t="shared" si="9"/>
        <v>1061.0999999999999</v>
      </c>
      <c r="N48" s="288">
        <f t="shared" si="9"/>
        <v>874.06875000000002</v>
      </c>
      <c r="O48" s="289">
        <f t="shared" si="9"/>
        <v>2557.35</v>
      </c>
      <c r="P48" s="289">
        <f t="shared" si="9"/>
        <v>1435.1624999999999</v>
      </c>
      <c r="Q48" s="289">
        <f t="shared" si="9"/>
        <v>1061.0999999999999</v>
      </c>
      <c r="R48" s="289">
        <f t="shared" si="9"/>
        <v>874.06875000000002</v>
      </c>
      <c r="S48" s="180"/>
    </row>
    <row r="49" spans="1:19" s="341" customFormat="1" x14ac:dyDescent="0.25">
      <c r="A49" s="180"/>
      <c r="B49" s="180"/>
      <c r="C49" s="180"/>
      <c r="D49" s="180"/>
      <c r="E49" s="180"/>
      <c r="F49" s="180"/>
      <c r="G49" s="180"/>
      <c r="H49" s="180"/>
      <c r="I49" s="180"/>
      <c r="J49" s="290" t="s">
        <v>40</v>
      </c>
      <c r="K49" s="291">
        <f>SUM(K39+K43+K44)*H4/100</f>
        <v>186.2</v>
      </c>
      <c r="L49" s="291">
        <f>SUM(L39+L43+L44)*H4/100</f>
        <v>96.424999999999997</v>
      </c>
      <c r="M49" s="291">
        <f>SUM(M39+M43+M44)*H4/100</f>
        <v>66.5</v>
      </c>
      <c r="N49" s="291">
        <f>SUM(N39+N43+N44)*H4/100</f>
        <v>51.537500000000001</v>
      </c>
      <c r="O49" s="292">
        <f>SUM(O39+O43+O44)*H4/100</f>
        <v>186.2</v>
      </c>
      <c r="P49" s="292">
        <f>SUM(P39+P43+P44)*H4/100</f>
        <v>96.424999999999997</v>
      </c>
      <c r="Q49" s="292">
        <f>SUM(Q39+Q43+Q44)*H4/100</f>
        <v>66.5</v>
      </c>
      <c r="R49" s="292">
        <f>SUM(R39+R43+R44)*H4/100</f>
        <v>51.537500000000001</v>
      </c>
      <c r="S49" s="180"/>
    </row>
    <row r="50" spans="1:19" ht="23.1" customHeight="1" x14ac:dyDescent="0.25">
      <c r="A50" s="180"/>
      <c r="B50" s="180"/>
      <c r="C50" s="180"/>
      <c r="D50" s="180"/>
      <c r="E50" s="180"/>
      <c r="F50" s="180"/>
      <c r="G50" s="180"/>
      <c r="H50" s="180"/>
      <c r="I50" s="180"/>
      <c r="J50" s="284" t="s">
        <v>41</v>
      </c>
      <c r="K50" s="293">
        <f t="shared" ref="K50:R50" si="10">SUM(K48-K49)</f>
        <v>2371.15</v>
      </c>
      <c r="L50" s="293">
        <f t="shared" si="10"/>
        <v>1338.7375</v>
      </c>
      <c r="M50" s="293">
        <f t="shared" si="10"/>
        <v>994.59999999999991</v>
      </c>
      <c r="N50" s="293">
        <f t="shared" si="10"/>
        <v>822.53125</v>
      </c>
      <c r="O50" s="292">
        <f t="shared" si="10"/>
        <v>2371.15</v>
      </c>
      <c r="P50" s="292">
        <f t="shared" si="10"/>
        <v>1338.7375</v>
      </c>
      <c r="Q50" s="292">
        <f t="shared" si="10"/>
        <v>994.59999999999991</v>
      </c>
      <c r="R50" s="292">
        <f t="shared" si="10"/>
        <v>822.53125</v>
      </c>
      <c r="S50" s="175"/>
    </row>
    <row r="51" spans="1:19" ht="45.75" customHeight="1" thickBot="1" x14ac:dyDescent="0.75">
      <c r="A51" s="175"/>
      <c r="B51" s="259" t="s">
        <v>69</v>
      </c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</row>
    <row r="52" spans="1:19" s="341" customFormat="1" ht="20.25" hidden="1" customHeight="1" thickBot="1" x14ac:dyDescent="0.3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</row>
    <row r="53" spans="1:19" s="341" customFormat="1" ht="30" hidden="1" customHeight="1" thickBot="1" x14ac:dyDescent="0.3">
      <c r="A53" s="611" t="s">
        <v>14</v>
      </c>
      <c r="B53" s="612"/>
      <c r="D53" s="7"/>
      <c r="E53" s="7" t="s">
        <v>6</v>
      </c>
      <c r="F53" s="8" t="s">
        <v>7</v>
      </c>
      <c r="G53" s="8" t="s">
        <v>8</v>
      </c>
      <c r="H53" s="8" t="s">
        <v>9</v>
      </c>
      <c r="I53" s="8" t="s">
        <v>10</v>
      </c>
      <c r="J53" s="183"/>
      <c r="K53" s="184"/>
    </row>
    <row r="54" spans="1:19" s="341" customFormat="1" ht="26.25" hidden="1" customHeight="1" x14ac:dyDescent="0.25">
      <c r="A54" s="27" t="s">
        <v>19</v>
      </c>
      <c r="B54" s="263">
        <v>30</v>
      </c>
      <c r="D54" s="14" t="s">
        <v>12</v>
      </c>
      <c r="E54" s="15" t="s">
        <v>13</v>
      </c>
      <c r="F54" s="16">
        <v>171</v>
      </c>
      <c r="G54" s="17">
        <v>180.5</v>
      </c>
      <c r="H54" s="17">
        <v>190</v>
      </c>
      <c r="I54" s="18">
        <v>199.5</v>
      </c>
      <c r="J54" s="180"/>
      <c r="K54" s="494"/>
    </row>
    <row r="55" spans="1:19" s="341" customFormat="1" ht="22.5" hidden="1" customHeight="1" x14ac:dyDescent="0.25">
      <c r="A55" s="27" t="s">
        <v>22</v>
      </c>
      <c r="B55" s="263">
        <v>11</v>
      </c>
      <c r="D55" s="14" t="s">
        <v>12</v>
      </c>
      <c r="E55" s="23" t="s">
        <v>18</v>
      </c>
      <c r="F55" s="24">
        <v>218.5</v>
      </c>
      <c r="G55" s="25">
        <v>228</v>
      </c>
      <c r="H55" s="25">
        <v>237.5</v>
      </c>
      <c r="I55" s="26">
        <v>247</v>
      </c>
      <c r="J55" s="180"/>
      <c r="K55" s="494"/>
    </row>
    <row r="56" spans="1:19" s="341" customFormat="1" ht="22.5" hidden="1" customHeight="1" x14ac:dyDescent="0.25">
      <c r="A56" s="262" t="s">
        <v>24</v>
      </c>
      <c r="B56" s="263">
        <v>17</v>
      </c>
      <c r="D56" s="14" t="s">
        <v>12</v>
      </c>
      <c r="E56" s="33" t="s">
        <v>21</v>
      </c>
      <c r="F56" s="34">
        <v>242.25</v>
      </c>
      <c r="G56" s="35">
        <v>251.75</v>
      </c>
      <c r="H56" s="35">
        <v>261.25</v>
      </c>
      <c r="I56" s="36">
        <v>270.75</v>
      </c>
      <c r="J56" s="180"/>
      <c r="K56" s="494"/>
    </row>
    <row r="57" spans="1:19" s="341" customFormat="1" ht="14.25" hidden="1" customHeight="1" x14ac:dyDescent="0.25">
      <c r="A57" s="262" t="s">
        <v>53</v>
      </c>
      <c r="B57" s="263">
        <v>20</v>
      </c>
      <c r="D57" s="14" t="s">
        <v>12</v>
      </c>
      <c r="E57" s="41" t="s">
        <v>23</v>
      </c>
      <c r="F57" s="42">
        <v>266</v>
      </c>
      <c r="G57" s="43">
        <v>275.5</v>
      </c>
      <c r="H57" s="43">
        <v>285</v>
      </c>
      <c r="I57" s="44">
        <v>294.5</v>
      </c>
      <c r="J57" s="180"/>
      <c r="K57" s="494"/>
    </row>
    <row r="58" spans="1:19" s="341" customFormat="1" ht="15.75" hidden="1" thickBot="1" x14ac:dyDescent="0.3">
      <c r="A58" s="264" t="s">
        <v>54</v>
      </c>
      <c r="B58" s="265">
        <v>15</v>
      </c>
      <c r="D58" s="47" t="s">
        <v>12</v>
      </c>
      <c r="E58" s="48" t="s">
        <v>26</v>
      </c>
      <c r="F58" s="49"/>
      <c r="G58" s="174">
        <v>115</v>
      </c>
      <c r="H58" s="49" t="s">
        <v>27</v>
      </c>
      <c r="I58" s="205"/>
      <c r="J58" s="52"/>
      <c r="K58" s="185"/>
    </row>
    <row r="59" spans="1:19" s="341" customFormat="1" hidden="1" x14ac:dyDescent="0.25">
      <c r="D59" s="208"/>
      <c r="E59" s="52"/>
      <c r="F59" s="52"/>
      <c r="G59" s="206"/>
      <c r="H59" s="52"/>
      <c r="I59" s="52"/>
      <c r="J59" s="52"/>
      <c r="K59" s="185"/>
    </row>
    <row r="60" spans="1:19" s="341" customFormat="1" hidden="1" x14ac:dyDescent="0.25">
      <c r="D60" s="50" t="s">
        <v>28</v>
      </c>
      <c r="E60" s="209" t="s">
        <v>14</v>
      </c>
      <c r="F60" s="52"/>
      <c r="G60" s="210">
        <v>93</v>
      </c>
      <c r="H60" s="209" t="s">
        <v>29</v>
      </c>
      <c r="I60" s="52"/>
      <c r="J60" s="202" t="s">
        <v>30</v>
      </c>
      <c r="K60" s="203"/>
    </row>
    <row r="61" spans="1:19" s="341" customFormat="1" hidden="1" x14ac:dyDescent="0.25">
      <c r="D61" s="50" t="s">
        <v>28</v>
      </c>
      <c r="E61" s="7" t="s">
        <v>31</v>
      </c>
      <c r="F61" s="52"/>
      <c r="G61" s="198">
        <v>17</v>
      </c>
      <c r="H61" s="7" t="s">
        <v>32</v>
      </c>
      <c r="I61" s="52"/>
      <c r="J61" s="202" t="s">
        <v>33</v>
      </c>
      <c r="K61" s="203"/>
    </row>
    <row r="62" spans="1:19" s="341" customFormat="1" hidden="1" x14ac:dyDescent="0.25">
      <c r="D62" s="50" t="s">
        <v>28</v>
      </c>
      <c r="E62" s="7" t="s">
        <v>35</v>
      </c>
      <c r="F62" s="52"/>
      <c r="G62" s="201" t="s">
        <v>72</v>
      </c>
      <c r="H62" s="7"/>
      <c r="I62" s="52"/>
      <c r="J62" s="204" t="s">
        <v>36</v>
      </c>
      <c r="K62" s="203"/>
    </row>
    <row r="63" spans="1:19" s="341" customFormat="1" ht="15.75" hidden="1" thickBot="1" x14ac:dyDescent="0.3">
      <c r="D63" s="180"/>
      <c r="E63" s="180"/>
      <c r="F63" s="180"/>
      <c r="G63" s="180"/>
      <c r="H63" s="180"/>
      <c r="I63" s="180"/>
      <c r="J63" s="202" t="s">
        <v>38</v>
      </c>
      <c r="K63" s="203"/>
    </row>
    <row r="64" spans="1:19" s="341" customFormat="1" ht="21.75" thickBot="1" x14ac:dyDescent="0.4">
      <c r="B64" s="576" t="s">
        <v>50</v>
      </c>
      <c r="C64" s="577"/>
      <c r="D64" s="577"/>
      <c r="E64" s="577"/>
      <c r="F64" s="556" t="s">
        <v>18</v>
      </c>
      <c r="G64" s="557"/>
      <c r="H64" s="557"/>
      <c r="I64" s="558"/>
      <c r="J64" s="560" t="s">
        <v>43</v>
      </c>
      <c r="K64" s="560"/>
      <c r="L64" s="560"/>
      <c r="M64" s="561"/>
      <c r="N64" s="578" t="s">
        <v>52</v>
      </c>
      <c r="O64" s="578"/>
      <c r="P64" s="578"/>
      <c r="Q64" s="579"/>
      <c r="R64" s="180"/>
      <c r="S64" s="180"/>
    </row>
    <row r="65" spans="1:19" ht="19.5" thickBot="1" x14ac:dyDescent="0.35">
      <c r="A65" s="9"/>
      <c r="B65" s="580" t="s">
        <v>51</v>
      </c>
      <c r="C65" s="581"/>
      <c r="D65" s="581"/>
      <c r="E65" s="581"/>
      <c r="F65" s="582" t="s">
        <v>51</v>
      </c>
      <c r="G65" s="583"/>
      <c r="H65" s="583"/>
      <c r="I65" s="584"/>
      <c r="J65" s="585" t="s">
        <v>51</v>
      </c>
      <c r="K65" s="585"/>
      <c r="L65" s="585"/>
      <c r="M65" s="570"/>
      <c r="N65" s="586" t="s">
        <v>51</v>
      </c>
      <c r="O65" s="586"/>
      <c r="P65" s="586"/>
      <c r="Q65" s="587"/>
      <c r="R65" s="175"/>
      <c r="S65" s="175"/>
    </row>
    <row r="66" spans="1:19" ht="15.75" thickBot="1" x14ac:dyDescent="0.3">
      <c r="A66" s="67"/>
      <c r="B66" s="248" t="s">
        <v>7</v>
      </c>
      <c r="C66" s="249" t="s">
        <v>8</v>
      </c>
      <c r="D66" s="221" t="s">
        <v>9</v>
      </c>
      <c r="E66" s="221" t="s">
        <v>10</v>
      </c>
      <c r="F66" s="253" t="s">
        <v>7</v>
      </c>
      <c r="G66" s="229" t="s">
        <v>8</v>
      </c>
      <c r="H66" s="229" t="s">
        <v>9</v>
      </c>
      <c r="I66" s="229" t="s">
        <v>10</v>
      </c>
      <c r="J66" s="72" t="s">
        <v>7</v>
      </c>
      <c r="K66" s="73" t="s">
        <v>8</v>
      </c>
      <c r="L66" s="74" t="s">
        <v>9</v>
      </c>
      <c r="M66" s="74" t="s">
        <v>10</v>
      </c>
      <c r="N66" s="256" t="s">
        <v>7</v>
      </c>
      <c r="O66" s="237" t="s">
        <v>8</v>
      </c>
      <c r="P66" s="237" t="s">
        <v>9</v>
      </c>
      <c r="Q66" s="236" t="s">
        <v>10</v>
      </c>
      <c r="R66" s="175"/>
      <c r="S66" s="175"/>
    </row>
    <row r="67" spans="1:19" hidden="1" x14ac:dyDescent="0.25">
      <c r="A67" s="28" t="s">
        <v>20</v>
      </c>
      <c r="B67" s="250">
        <f>SUM(F3*180)</f>
        <v>1260</v>
      </c>
      <c r="C67" s="250">
        <f>SUM(F3*190)</f>
        <v>1330</v>
      </c>
      <c r="D67" s="251">
        <f>SUM(F3*200)</f>
        <v>1400</v>
      </c>
      <c r="E67" s="222">
        <f>SUM(F3*210)</f>
        <v>1470</v>
      </c>
      <c r="F67" s="254">
        <f>SUM(F3*230)</f>
        <v>1610</v>
      </c>
      <c r="G67" s="252">
        <f>SUM(F3*240)</f>
        <v>1680</v>
      </c>
      <c r="H67" s="230">
        <f>SUM(F3*250)</f>
        <v>1750</v>
      </c>
      <c r="I67" s="230">
        <f>SUM(F3*260)</f>
        <v>1820</v>
      </c>
      <c r="J67" s="91">
        <f>SUM(F3*255)</f>
        <v>1785</v>
      </c>
      <c r="K67" s="91">
        <f>SUM(F3*265)</f>
        <v>1855</v>
      </c>
      <c r="L67" s="91">
        <f>SUM(F3*275)</f>
        <v>1925</v>
      </c>
      <c r="M67" s="91">
        <f>SUM(F3*285)</f>
        <v>1995</v>
      </c>
      <c r="N67" s="257">
        <f>SUM(F3*280)</f>
        <v>1960</v>
      </c>
      <c r="O67" s="244">
        <f>SUM(F3*290)</f>
        <v>2030</v>
      </c>
      <c r="P67" s="238">
        <f>SUM(F3*300)</f>
        <v>2100</v>
      </c>
      <c r="Q67" s="244">
        <f>SUM(F3*310)</f>
        <v>2170</v>
      </c>
      <c r="R67" s="175"/>
      <c r="S67" s="175"/>
    </row>
    <row r="68" spans="1:19" ht="15.75" hidden="1" thickBot="1" x14ac:dyDescent="0.3">
      <c r="A68" s="28" t="s">
        <v>35</v>
      </c>
      <c r="B68" s="223">
        <f>SUM((B67)*0.25)</f>
        <v>315</v>
      </c>
      <c r="C68" s="223">
        <f t="shared" ref="C68:E68" si="11">SUM((C67)*0.25)</f>
        <v>332.5</v>
      </c>
      <c r="D68" s="223">
        <f t="shared" si="11"/>
        <v>350</v>
      </c>
      <c r="E68" s="223">
        <f t="shared" si="11"/>
        <v>367.5</v>
      </c>
      <c r="F68" s="255">
        <f>SUM((F67)*0.25)</f>
        <v>402.5</v>
      </c>
      <c r="G68" s="255">
        <f t="shared" ref="G68:I68" si="12">SUM((G67)*0.25)</f>
        <v>420</v>
      </c>
      <c r="H68" s="255">
        <f t="shared" si="12"/>
        <v>437.5</v>
      </c>
      <c r="I68" s="255">
        <f t="shared" si="12"/>
        <v>455</v>
      </c>
      <c r="J68" s="119">
        <f>SUM((J67)*0.25)</f>
        <v>446.25</v>
      </c>
      <c r="K68" s="119">
        <f t="shared" ref="K68:M68" si="13">SUM((K67)*0.25)</f>
        <v>463.75</v>
      </c>
      <c r="L68" s="119">
        <f t="shared" si="13"/>
        <v>481.25</v>
      </c>
      <c r="M68" s="119">
        <f t="shared" si="13"/>
        <v>498.75</v>
      </c>
      <c r="N68" s="258">
        <f>SUM((N67)*0.25)</f>
        <v>490</v>
      </c>
      <c r="O68" s="258">
        <f t="shared" ref="O68:Q68" si="14">SUM((O67)*0.25)</f>
        <v>507.5</v>
      </c>
      <c r="P68" s="258">
        <f t="shared" si="14"/>
        <v>525</v>
      </c>
      <c r="Q68" s="258">
        <f t="shared" si="14"/>
        <v>542.5</v>
      </c>
      <c r="R68" s="175"/>
      <c r="S68" s="175"/>
    </row>
    <row r="69" spans="1:19" ht="18.75" x14ac:dyDescent="0.3">
      <c r="A69" s="120" t="s">
        <v>39</v>
      </c>
      <c r="B69" s="490">
        <f t="shared" ref="B69:Q69" si="15">SUM(B67:B68)</f>
        <v>1575</v>
      </c>
      <c r="C69" s="225">
        <f t="shared" si="15"/>
        <v>1662.5</v>
      </c>
      <c r="D69" s="225">
        <f t="shared" si="15"/>
        <v>1750</v>
      </c>
      <c r="E69" s="225">
        <f t="shared" si="15"/>
        <v>1837.5</v>
      </c>
      <c r="F69" s="231">
        <f t="shared" si="15"/>
        <v>2012.5</v>
      </c>
      <c r="G69" s="491">
        <f t="shared" si="15"/>
        <v>2100</v>
      </c>
      <c r="H69" s="232">
        <f t="shared" si="15"/>
        <v>2187.5</v>
      </c>
      <c r="I69" s="232">
        <f t="shared" si="15"/>
        <v>2275</v>
      </c>
      <c r="J69" s="121">
        <f t="shared" si="15"/>
        <v>2231.25</v>
      </c>
      <c r="K69" s="123">
        <f t="shared" si="15"/>
        <v>2318.75</v>
      </c>
      <c r="L69" s="122">
        <f t="shared" si="15"/>
        <v>2406.25</v>
      </c>
      <c r="M69" s="123">
        <f t="shared" si="15"/>
        <v>2493.75</v>
      </c>
      <c r="N69" s="239">
        <f t="shared" si="15"/>
        <v>2450</v>
      </c>
      <c r="O69" s="492">
        <f t="shared" si="15"/>
        <v>2537.5</v>
      </c>
      <c r="P69" s="240">
        <f t="shared" si="15"/>
        <v>2625</v>
      </c>
      <c r="Q69" s="246">
        <f t="shared" si="15"/>
        <v>2712.5</v>
      </c>
      <c r="R69" s="175"/>
      <c r="S69" s="175"/>
    </row>
    <row r="70" spans="1:19" ht="15.75" thickBot="1" x14ac:dyDescent="0.3">
      <c r="A70" s="124" t="s">
        <v>40</v>
      </c>
      <c r="B70" s="226">
        <f>SUM(B67)*H4/100</f>
        <v>126</v>
      </c>
      <c r="C70" s="226">
        <f>SUM(C67)*H4/100</f>
        <v>133</v>
      </c>
      <c r="D70" s="226">
        <f>SUM(D67)*H4/100</f>
        <v>140</v>
      </c>
      <c r="E70" s="226">
        <f>SUM(E67)*H4/100</f>
        <v>147</v>
      </c>
      <c r="F70" s="125">
        <f>SUM(F67)*H4/100</f>
        <v>161</v>
      </c>
      <c r="G70" s="125">
        <f>SUM(G67)*H4/100</f>
        <v>168</v>
      </c>
      <c r="H70" s="125">
        <f>SUM(H67)*H4/100</f>
        <v>175</v>
      </c>
      <c r="I70" s="125">
        <f>SUM(I67)*H4/100</f>
        <v>182</v>
      </c>
      <c r="J70" s="243">
        <f>SUM(J67)*H4/100</f>
        <v>178.5</v>
      </c>
      <c r="K70" s="243">
        <f>SUM(K67)*H4/100</f>
        <v>185.5</v>
      </c>
      <c r="L70" s="243">
        <f>SUM(L67)*H4/100</f>
        <v>192.5</v>
      </c>
      <c r="M70" s="243">
        <f>SUM(M67)*H4/100</f>
        <v>199.5</v>
      </c>
      <c r="N70" s="235">
        <f>SUM(N67)*H4/100</f>
        <v>196</v>
      </c>
      <c r="O70" s="235">
        <f>SUM(O67)*H4/100</f>
        <v>203</v>
      </c>
      <c r="P70" s="235">
        <f>SUM(P67)*H4/100</f>
        <v>210</v>
      </c>
      <c r="Q70" s="247">
        <f>SUM(Q67)*H4/100</f>
        <v>217</v>
      </c>
      <c r="R70" s="175"/>
      <c r="S70" s="175"/>
    </row>
    <row r="71" spans="1:19" ht="15.75" thickBot="1" x14ac:dyDescent="0.3">
      <c r="A71" s="120" t="s">
        <v>41</v>
      </c>
      <c r="B71" s="227">
        <f t="shared" ref="B71:E71" si="16">SUM(B69-B70)</f>
        <v>1449</v>
      </c>
      <c r="C71" s="228">
        <f t="shared" si="16"/>
        <v>1529.5</v>
      </c>
      <c r="D71" s="228">
        <f t="shared" si="16"/>
        <v>1610</v>
      </c>
      <c r="E71" s="228">
        <f t="shared" si="16"/>
        <v>1690.5</v>
      </c>
      <c r="F71" s="233">
        <f t="shared" ref="F71:I71" si="17">SUM(F69-F70)</f>
        <v>1851.5</v>
      </c>
      <c r="G71" s="234">
        <f t="shared" si="17"/>
        <v>1932</v>
      </c>
      <c r="H71" s="234">
        <f t="shared" si="17"/>
        <v>2012.5</v>
      </c>
      <c r="I71" s="234">
        <f t="shared" si="17"/>
        <v>2093</v>
      </c>
      <c r="J71" s="126">
        <f t="shared" ref="J71:M71" si="18">SUM(J69-J70)</f>
        <v>2052.75</v>
      </c>
      <c r="K71" s="127">
        <f t="shared" si="18"/>
        <v>2133.25</v>
      </c>
      <c r="L71" s="127">
        <f t="shared" si="18"/>
        <v>2213.75</v>
      </c>
      <c r="M71" s="127">
        <f t="shared" si="18"/>
        <v>2294.25</v>
      </c>
      <c r="N71" s="241">
        <f t="shared" ref="N71:Q71" si="19">SUM(N69-N70)</f>
        <v>2254</v>
      </c>
      <c r="O71" s="242">
        <f t="shared" si="19"/>
        <v>2334.5</v>
      </c>
      <c r="P71" s="242">
        <f t="shared" si="19"/>
        <v>2415</v>
      </c>
      <c r="Q71" s="245">
        <f t="shared" si="19"/>
        <v>2495.5</v>
      </c>
      <c r="R71" s="175"/>
      <c r="S71" s="175"/>
    </row>
    <row r="72" spans="1:19" x14ac:dyDescent="0.25">
      <c r="A72" s="175"/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</row>
    <row r="73" spans="1:19" x14ac:dyDescent="0.25">
      <c r="A73" s="175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</row>
  </sheetData>
  <sheetProtection algorithmName="SHA-512" hashValue="h+wSCyFhNuK498zZJOUACHTqHbBpisUPKfogz1wXn/yilxTjtwISxwmycZX6s/cJV17g40L05XbAxlYVqy0W3A==" saltValue="ey6Nc4IK6KZpdhj3YJSl6g==" spinCount="100000" sheet="1" objects="1" scenarios="1"/>
  <mergeCells count="21">
    <mergeCell ref="J3:R3"/>
    <mergeCell ref="J4:N4"/>
    <mergeCell ref="O4:R4"/>
    <mergeCell ref="J35:R35"/>
    <mergeCell ref="A53:B53"/>
    <mergeCell ref="A19:I19"/>
    <mergeCell ref="J19:R19"/>
    <mergeCell ref="B20:E20"/>
    <mergeCell ref="F20:I20"/>
    <mergeCell ref="K20:N20"/>
    <mergeCell ref="O20:R20"/>
    <mergeCell ref="K36:N36"/>
    <mergeCell ref="O36:R36"/>
    <mergeCell ref="B65:E65"/>
    <mergeCell ref="F65:I65"/>
    <mergeCell ref="J65:M65"/>
    <mergeCell ref="N65:Q65"/>
    <mergeCell ref="B64:E64"/>
    <mergeCell ref="F64:I64"/>
    <mergeCell ref="J64:M64"/>
    <mergeCell ref="N64:Q64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 DEMA L1-Jan 11-Apr 17,20</vt:lpstr>
      <vt:lpstr>DEMA L2-Apr 18-Aug 2,20</vt:lpstr>
      <vt:lpstr>DEMA L3 Aug 3-Dec 20,20</vt:lpstr>
      <vt:lpstr>DEMA Level 1 - 2021 </vt:lpstr>
      <vt:lpstr>DEMA Level 2 - 2021 </vt:lpstr>
      <vt:lpstr>DEMA Level 3 - 2021 </vt:lpstr>
      <vt:lpstr>DEMA PicknMix Menu </vt:lpstr>
      <vt:lpstr>Win-Dec 19, 20-Apr 17, 21</vt:lpstr>
      <vt:lpstr>Sum-Apr 18-Dec 17, 21</vt:lpstr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</dc:creator>
  <cp:lastModifiedBy>EmmaJane Fisher | Sunset House Ltd</cp:lastModifiedBy>
  <cp:lastPrinted>2019-02-02T16:31:39Z</cp:lastPrinted>
  <dcterms:created xsi:type="dcterms:W3CDTF">2011-02-18T18:25:12Z</dcterms:created>
  <dcterms:modified xsi:type="dcterms:W3CDTF">2021-05-12T19:35:31Z</dcterms:modified>
</cp:coreProperties>
</file>